
<file path=[Content_Types].xml><?xml version="1.0" encoding="utf-8"?>
<Types xmlns="http://schemas.openxmlformats.org/package/2006/content-types">
  <Default Extension="wmf" ContentType="image/x-wmf"/>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25" windowHeight="9195" tabRatio="759" firstSheet="1" activeTab="1"/>
  </bookViews>
  <sheets>
    <sheet name="总表 " sheetId="25" state="hidden" r:id="rId1"/>
    <sheet name="总表（分项目）" sheetId="27" r:id="rId2"/>
    <sheet name="市县（因素法）" sheetId="26" r:id="rId3"/>
    <sheet name="绩效目标表" sheetId="30" state="hidden" r:id="rId4"/>
  </sheets>
  <definedNames>
    <definedName name="_xlnm._FilterDatabase" localSheetId="2" hidden="1">'市县（因素法）'!$A$5:$CE$69</definedName>
    <definedName name="_xlnm._FilterDatabase" localSheetId="3" hidden="1">绩效目标表!$A$14:$K$34</definedName>
    <definedName name="_xlnm.Print_Area" localSheetId="2">'市县（因素法）'!$A$1:$CD$69</definedName>
    <definedName name="_xlnm.Print_Area" localSheetId="0">'总表 '!$A$1:$E$82</definedName>
    <definedName name="_xlnm.Print_Titles" localSheetId="2">'市县（因素法）'!$A:$A</definedName>
    <definedName name="_xlnm.Print_Titles" localSheetId="0">'总表 '!$4:$4</definedName>
    <definedName name="_xlnm.Print_Titles" localSheetId="1">'总表（分项目）'!$4:$4</definedName>
    <definedName name="_xlnm._FilterDatabase" localSheetId="1" hidden="1">'总表（分项目）'!$A$6:$R$63</definedName>
  </definedNames>
  <calcPr calcId="144525" concurrentCalc="0"/>
</workbook>
</file>

<file path=xl/comments1.xml><?xml version="1.0" encoding="utf-8"?>
<comments xmlns="http://schemas.openxmlformats.org/spreadsheetml/2006/main">
  <authors>
    <author>wtf</author>
    <author>龙玉珊</author>
    <author>沈少君</author>
    <author>张锦清</author>
    <author>效拟</author>
    <author>李杰</author>
    <author>梁晶莹</author>
    <author>张启明</author>
  </authors>
  <commentList>
    <comment ref="AO5" authorId="0">
      <text>
        <r>
          <rPr>
            <sz val="9"/>
            <rFont val="宋体"/>
            <charset val="134"/>
          </rPr>
          <t>按系数计算，台山补助1万，开平补助5.5万。按70%安排补助资金，即台山0.7万，开平3.85万。其余30%1.95万按系数分配给其他经济欠发达地区</t>
        </r>
      </text>
    </comment>
    <comment ref="BG5" authorId="1">
      <text>
        <r>
          <rPr>
            <b/>
            <sz val="9"/>
            <rFont val="宋体"/>
            <charset val="134"/>
          </rPr>
          <t>龙玉珊:</t>
        </r>
        <r>
          <rPr>
            <sz val="9"/>
            <rFont val="宋体"/>
            <charset val="134"/>
          </rPr>
          <t xml:space="preserve">
20个地市（除深圳）*1万+62个监测点*3万=206万</t>
        </r>
      </text>
    </comment>
    <comment ref="BT5" authorId="2">
      <text>
        <r>
          <rPr>
            <b/>
            <sz val="9"/>
            <rFont val="宋体"/>
            <charset val="134"/>
          </rPr>
          <t>沈少君:</t>
        </r>
        <r>
          <rPr>
            <sz val="9"/>
            <rFont val="宋体"/>
            <charset val="134"/>
          </rPr>
          <t xml:space="preserve">
该项目为省级监测任务，每个点补助0.92万元</t>
        </r>
      </text>
    </comment>
    <comment ref="BU5" authorId="2">
      <text>
        <r>
          <rPr>
            <b/>
            <sz val="9"/>
            <rFont val="宋体"/>
            <charset val="134"/>
          </rPr>
          <t>沈少君:</t>
        </r>
        <r>
          <rPr>
            <sz val="9"/>
            <rFont val="宋体"/>
            <charset val="134"/>
          </rPr>
          <t xml:space="preserve">
该项目为省级试点工作，每个点补助0.42万元</t>
        </r>
      </text>
    </comment>
    <comment ref="BW5" authorId="1">
      <text>
        <r>
          <rPr>
            <b/>
            <sz val="9"/>
            <rFont val="宋体"/>
            <charset val="134"/>
          </rPr>
          <t>龙玉珊:</t>
        </r>
        <r>
          <rPr>
            <sz val="9"/>
            <rFont val="宋体"/>
            <charset val="134"/>
          </rPr>
          <t xml:space="preserve">
以三项工作重要性来设置权重系数计算补助资金</t>
        </r>
      </text>
    </comment>
    <comment ref="BY5" authorId="3">
      <text>
        <r>
          <rPr>
            <b/>
            <sz val="9"/>
            <rFont val="宋体"/>
            <charset val="134"/>
          </rPr>
          <t>张锦清:</t>
        </r>
        <r>
          <rPr>
            <sz val="9"/>
            <rFont val="宋体"/>
            <charset val="134"/>
          </rPr>
          <t xml:space="preserve">
2022年新增中山实践基地</t>
        </r>
      </text>
    </comment>
    <comment ref="BC9" authorId="4">
      <text>
        <r>
          <rPr>
            <b/>
            <sz val="9"/>
            <rFont val="宋体"/>
            <charset val="134"/>
          </rPr>
          <t>效拟:</t>
        </r>
        <r>
          <rPr>
            <sz val="9"/>
            <rFont val="宋体"/>
            <charset val="134"/>
          </rPr>
          <t xml:space="preserve">
广州市承担伤害干预试点工作，安排6万元，用于在社区推广并实施老年人跌倒干预活动工作。</t>
        </r>
      </text>
    </comment>
    <comment ref="BE10" authorId="4">
      <text>
        <r>
          <rPr>
            <b/>
            <sz val="9"/>
            <rFont val="宋体"/>
            <charset val="134"/>
          </rPr>
          <t>效拟:</t>
        </r>
        <r>
          <rPr>
            <sz val="9"/>
            <rFont val="宋体"/>
            <charset val="134"/>
          </rPr>
          <t xml:space="preserve">
珠海市承担重点慢性病综合干预试点工作，安排6.2万元，用于在社区开展提高高同型半胱氨酸高血压（H型高血压）患者依从性预防脑卒中的干预工作。
</t>
        </r>
      </text>
    </comment>
    <comment ref="BC12" authorId="4">
      <text>
        <r>
          <rPr>
            <b/>
            <sz val="9"/>
            <rFont val="宋体"/>
            <charset val="134"/>
          </rPr>
          <t>效拟:</t>
        </r>
        <r>
          <rPr>
            <sz val="9"/>
            <rFont val="宋体"/>
            <charset val="134"/>
          </rPr>
          <t xml:space="preserve">
佛山市承担伤害干预试点工作，安排6万元，用于在社区推广并实施老年人跌倒干预活动工作。</t>
        </r>
      </text>
    </comment>
    <comment ref="BE19" authorId="4">
      <text>
        <r>
          <rPr>
            <b/>
            <sz val="9"/>
            <rFont val="宋体"/>
            <charset val="134"/>
          </rPr>
          <t>效拟:</t>
        </r>
        <r>
          <rPr>
            <sz val="9"/>
            <rFont val="宋体"/>
            <charset val="134"/>
          </rPr>
          <t xml:space="preserve">
中山市承担重点慢性病综合干预试点工作，安排6.2万元，用于在社区开展提高高同型半胱氨酸高血压（H型高血压）患者依从性预防脑卒中的干预工作。
</t>
        </r>
      </text>
    </comment>
    <comment ref="A20" authorId="0">
      <text>
        <r>
          <rPr>
            <sz val="9"/>
            <rFont val="宋体"/>
            <charset val="134"/>
          </rPr>
          <t>江门市台山、开平、恩平为经济欠发达地区</t>
        </r>
      </text>
    </comment>
    <comment ref="E20" authorId="5">
      <text>
        <r>
          <rPr>
            <b/>
            <sz val="9"/>
            <rFont val="宋体"/>
            <charset val="134"/>
          </rPr>
          <t>李杰:</t>
        </r>
        <r>
          <rPr>
            <sz val="9"/>
            <rFont val="宋体"/>
            <charset val="134"/>
          </rPr>
          <t xml:space="preserve">
台山1353
开平376
恩平300
其他1474
总计3503
</t>
        </r>
      </text>
    </comment>
    <comment ref="F20" authorId="5">
      <text>
        <r>
          <rPr>
            <b/>
            <sz val="9"/>
            <rFont val="宋体"/>
            <charset val="134"/>
          </rPr>
          <t>李杰:</t>
        </r>
        <r>
          <rPr>
            <sz val="9"/>
            <rFont val="宋体"/>
            <charset val="134"/>
          </rPr>
          <t xml:space="preserve">
台山14122
开平9768
恩平6585
其他29273
总计59748
</t>
        </r>
      </text>
    </comment>
    <comment ref="BT21" authorId="6">
      <text>
        <r>
          <rPr>
            <b/>
            <sz val="9"/>
            <rFont val="宋体"/>
            <charset val="134"/>
          </rPr>
          <t>梁晶莹:</t>
        </r>
        <r>
          <rPr>
            <sz val="9"/>
            <rFont val="宋体"/>
            <charset val="134"/>
          </rPr>
          <t xml:space="preserve">
鹤山、蓬江</t>
        </r>
      </text>
    </comment>
    <comment ref="BU21" authorId="6">
      <text>
        <r>
          <rPr>
            <b/>
            <sz val="9"/>
            <rFont val="宋体"/>
            <charset val="134"/>
          </rPr>
          <t>梁晶莹:</t>
        </r>
        <r>
          <rPr>
            <sz val="9"/>
            <rFont val="宋体"/>
            <charset val="134"/>
          </rPr>
          <t xml:space="preserve">
新会
</t>
        </r>
      </text>
    </comment>
    <comment ref="AO22" authorId="0">
      <text>
        <r>
          <rPr>
            <sz val="9"/>
            <rFont val="宋体"/>
            <charset val="134"/>
          </rPr>
          <t>按系数计算，台山补助1万，开平补助5.5万。按70%安排补助资金，即台山0.7万，开平3.85万。其余30%1.95万按系数分配给其他经济欠发达地区</t>
        </r>
      </text>
    </comment>
    <comment ref="Z24" authorId="7">
      <text>
        <r>
          <rPr>
            <b/>
            <sz val="9"/>
            <rFont val="宋体"/>
            <charset val="134"/>
          </rPr>
          <t>张启明:</t>
        </r>
        <r>
          <rPr>
            <sz val="9"/>
            <rFont val="宋体"/>
            <charset val="134"/>
          </rPr>
          <t xml:space="preserve">
恩平为省级重点寄生虫病监测点，补助金额为5万元,补助比例100%</t>
        </r>
      </text>
    </comment>
  </commentList>
</comments>
</file>

<file path=xl/comments2.xml><?xml version="1.0" encoding="utf-8"?>
<comments xmlns="http://schemas.openxmlformats.org/spreadsheetml/2006/main">
  <authors>
    <author>龙玉珊</author>
  </authors>
  <commentList>
    <comment ref="B11" authorId="0">
      <text>
        <r>
          <rPr>
            <b/>
            <sz val="9"/>
            <rFont val="宋体"/>
            <charset val="134"/>
          </rPr>
          <t>龙玉珊:</t>
        </r>
        <r>
          <rPr>
            <sz val="9"/>
            <rFont val="宋体"/>
            <charset val="134"/>
          </rPr>
          <t xml:space="preserve">
16200*3</t>
        </r>
      </text>
    </comment>
  </commentList>
</comments>
</file>

<file path=xl/sharedStrings.xml><?xml version="1.0" encoding="utf-8"?>
<sst xmlns="http://schemas.openxmlformats.org/spreadsheetml/2006/main" count="512" uniqueCount="399">
  <si>
    <t>附件4</t>
  </si>
  <si>
    <r>
      <rPr>
        <b/>
        <sz val="16"/>
        <color theme="1"/>
        <rFont val="Times New Roman"/>
        <charset val="134"/>
      </rPr>
      <t>2022</t>
    </r>
    <r>
      <rPr>
        <b/>
        <sz val="16"/>
        <color theme="1"/>
        <rFont val="宋体"/>
        <charset val="134"/>
      </rPr>
      <t>年省级疫病防控项目资金分配表</t>
    </r>
  </si>
  <si>
    <t>金额单位：万元</t>
  </si>
  <si>
    <r>
      <rPr>
        <b/>
        <sz val="12"/>
        <color theme="1"/>
        <rFont val="宋体"/>
        <charset val="134"/>
      </rPr>
      <t>项目单位</t>
    </r>
  </si>
  <si>
    <r>
      <rPr>
        <b/>
        <sz val="12"/>
        <color theme="1"/>
        <rFont val="宋体"/>
        <charset val="134"/>
      </rPr>
      <t>补助金额</t>
    </r>
  </si>
  <si>
    <r>
      <rPr>
        <b/>
        <sz val="12"/>
        <color theme="1"/>
        <rFont val="宋体"/>
        <charset val="134"/>
      </rPr>
      <t>功能科目</t>
    </r>
  </si>
  <si>
    <r>
      <rPr>
        <b/>
        <sz val="12"/>
        <color theme="1"/>
        <rFont val="宋体"/>
        <charset val="134"/>
      </rPr>
      <t>政府预算经济科目</t>
    </r>
  </si>
  <si>
    <r>
      <rPr>
        <b/>
        <sz val="12"/>
        <color theme="1"/>
        <rFont val="宋体"/>
        <charset val="134"/>
      </rPr>
      <t>部门预算经济科目</t>
    </r>
  </si>
  <si>
    <r>
      <rPr>
        <b/>
        <sz val="11"/>
        <color theme="1"/>
        <rFont val="宋体"/>
        <charset val="134"/>
      </rPr>
      <t>合计</t>
    </r>
  </si>
  <si>
    <r>
      <rPr>
        <b/>
        <sz val="11"/>
        <color theme="1"/>
        <rFont val="宋体"/>
        <charset val="134"/>
      </rPr>
      <t>一、省本级</t>
    </r>
  </si>
  <si>
    <t>省疾控中心</t>
  </si>
  <si>
    <t>省卫生监督所</t>
  </si>
  <si>
    <t>省职业病防治院</t>
  </si>
  <si>
    <t>广东省医学学术交流中心</t>
  </si>
  <si>
    <t>省结核病控制中心</t>
  </si>
  <si>
    <t>省人民医院</t>
  </si>
  <si>
    <t>省第二人民医院</t>
  </si>
  <si>
    <t>中山大学孙逸仙纪念医院</t>
  </si>
  <si>
    <t>省妇幼保健院</t>
  </si>
  <si>
    <t>中山大学中山眼科中心</t>
  </si>
  <si>
    <t>南方医科大学皮肤病医院</t>
  </si>
  <si>
    <t>省泗安医院</t>
  </si>
  <si>
    <t>省精神卫生中心</t>
  </si>
  <si>
    <t>汕头大学精神卫生中心</t>
  </si>
  <si>
    <t>南方医科大学口腔医院</t>
  </si>
  <si>
    <t>省公共卫生研究院</t>
  </si>
  <si>
    <t>省生物制品与药物研究所</t>
  </si>
  <si>
    <t>省明康监狱</t>
  </si>
  <si>
    <t>南方医科大学南方医院</t>
  </si>
  <si>
    <r>
      <rPr>
        <b/>
        <sz val="11"/>
        <rFont val="宋体"/>
        <charset val="134"/>
      </rPr>
      <t>二、各地市</t>
    </r>
  </si>
  <si>
    <r>
      <rPr>
        <sz val="11"/>
        <rFont val="宋体"/>
        <charset val="134"/>
      </rPr>
      <t>广州市</t>
    </r>
  </si>
  <si>
    <r>
      <rPr>
        <sz val="11"/>
        <rFont val="宋体"/>
        <charset val="134"/>
      </rPr>
      <t>珠海市</t>
    </r>
  </si>
  <si>
    <r>
      <rPr>
        <sz val="11"/>
        <rFont val="宋体"/>
        <charset val="134"/>
      </rPr>
      <t>汕头市</t>
    </r>
  </si>
  <si>
    <r>
      <rPr>
        <sz val="11"/>
        <rFont val="宋体"/>
        <charset val="134"/>
      </rPr>
      <t>佛山市</t>
    </r>
  </si>
  <si>
    <r>
      <rPr>
        <sz val="11"/>
        <rFont val="宋体"/>
        <charset val="134"/>
      </rPr>
      <t>韶关市</t>
    </r>
  </si>
  <si>
    <r>
      <rPr>
        <sz val="11"/>
        <rFont val="宋体"/>
        <charset val="134"/>
      </rPr>
      <t>河源市</t>
    </r>
  </si>
  <si>
    <r>
      <rPr>
        <sz val="11"/>
        <rFont val="宋体"/>
        <charset val="134"/>
      </rPr>
      <t>梅州市</t>
    </r>
  </si>
  <si>
    <r>
      <rPr>
        <sz val="11"/>
        <rFont val="宋体"/>
        <charset val="134"/>
      </rPr>
      <t>惠州市</t>
    </r>
  </si>
  <si>
    <r>
      <rPr>
        <sz val="11"/>
        <rFont val="宋体"/>
        <charset val="134"/>
      </rPr>
      <t>汕尾市</t>
    </r>
  </si>
  <si>
    <r>
      <rPr>
        <sz val="11"/>
        <rFont val="宋体"/>
        <charset val="134"/>
      </rPr>
      <t>东莞市</t>
    </r>
  </si>
  <si>
    <r>
      <rPr>
        <sz val="11"/>
        <rFont val="宋体"/>
        <charset val="134"/>
      </rPr>
      <t>中山市</t>
    </r>
  </si>
  <si>
    <r>
      <rPr>
        <sz val="11"/>
        <rFont val="宋体"/>
        <charset val="134"/>
      </rPr>
      <t>江门市</t>
    </r>
  </si>
  <si>
    <r>
      <rPr>
        <sz val="11"/>
        <rFont val="宋体"/>
        <charset val="134"/>
      </rPr>
      <t>阳江市</t>
    </r>
  </si>
  <si>
    <r>
      <rPr>
        <sz val="11"/>
        <rFont val="宋体"/>
        <charset val="134"/>
      </rPr>
      <t>湛江市</t>
    </r>
  </si>
  <si>
    <r>
      <rPr>
        <sz val="11"/>
        <rFont val="宋体"/>
        <charset val="134"/>
      </rPr>
      <t>茂名市</t>
    </r>
  </si>
  <si>
    <r>
      <rPr>
        <sz val="11"/>
        <rFont val="宋体"/>
        <charset val="134"/>
      </rPr>
      <t>肇庆市</t>
    </r>
  </si>
  <si>
    <r>
      <rPr>
        <sz val="11"/>
        <rFont val="宋体"/>
        <charset val="134"/>
      </rPr>
      <t>清远市</t>
    </r>
  </si>
  <si>
    <r>
      <rPr>
        <sz val="11"/>
        <rFont val="宋体"/>
        <charset val="134"/>
      </rPr>
      <t>潮州市</t>
    </r>
  </si>
  <si>
    <r>
      <rPr>
        <sz val="11"/>
        <rFont val="宋体"/>
        <charset val="134"/>
      </rPr>
      <t>揭阳市</t>
    </r>
  </si>
  <si>
    <r>
      <rPr>
        <sz val="11"/>
        <rFont val="宋体"/>
        <charset val="134"/>
      </rPr>
      <t>云浮市</t>
    </r>
  </si>
  <si>
    <r>
      <rPr>
        <b/>
        <sz val="11"/>
        <rFont val="宋体"/>
        <charset val="134"/>
      </rPr>
      <t>三、财政省直管县</t>
    </r>
  </si>
  <si>
    <r>
      <rPr>
        <sz val="11"/>
        <rFont val="宋体"/>
        <charset val="134"/>
      </rPr>
      <t>南澳县</t>
    </r>
  </si>
  <si>
    <r>
      <rPr>
        <sz val="11"/>
        <rFont val="宋体"/>
        <charset val="134"/>
      </rPr>
      <t>南雄市</t>
    </r>
  </si>
  <si>
    <r>
      <rPr>
        <sz val="11"/>
        <rFont val="宋体"/>
        <charset val="134"/>
      </rPr>
      <t>仁化县</t>
    </r>
  </si>
  <si>
    <r>
      <rPr>
        <sz val="11"/>
        <rFont val="宋体"/>
        <charset val="134"/>
      </rPr>
      <t>乳源县</t>
    </r>
  </si>
  <si>
    <r>
      <rPr>
        <sz val="11"/>
        <rFont val="宋体"/>
        <charset val="134"/>
      </rPr>
      <t>翁源县</t>
    </r>
  </si>
  <si>
    <r>
      <rPr>
        <sz val="11"/>
        <rFont val="宋体"/>
        <charset val="134"/>
      </rPr>
      <t>紫金县</t>
    </r>
  </si>
  <si>
    <r>
      <rPr>
        <sz val="11"/>
        <rFont val="宋体"/>
        <charset val="134"/>
      </rPr>
      <t>龙川县</t>
    </r>
  </si>
  <si>
    <r>
      <rPr>
        <sz val="11"/>
        <rFont val="宋体"/>
        <charset val="134"/>
      </rPr>
      <t>连平县</t>
    </r>
  </si>
  <si>
    <r>
      <rPr>
        <sz val="11"/>
        <rFont val="宋体"/>
        <charset val="134"/>
      </rPr>
      <t>兴宁市</t>
    </r>
  </si>
  <si>
    <r>
      <rPr>
        <sz val="11"/>
        <rFont val="宋体"/>
        <charset val="134"/>
      </rPr>
      <t>五华县</t>
    </r>
  </si>
  <si>
    <r>
      <rPr>
        <sz val="11"/>
        <rFont val="宋体"/>
        <charset val="134"/>
      </rPr>
      <t>丰顺县</t>
    </r>
  </si>
  <si>
    <r>
      <rPr>
        <sz val="11"/>
        <rFont val="宋体"/>
        <charset val="134"/>
      </rPr>
      <t>大埔县</t>
    </r>
  </si>
  <si>
    <r>
      <rPr>
        <sz val="11"/>
        <rFont val="宋体"/>
        <charset val="134"/>
      </rPr>
      <t>博罗县</t>
    </r>
  </si>
  <si>
    <r>
      <rPr>
        <sz val="11"/>
        <rFont val="宋体"/>
        <charset val="134"/>
      </rPr>
      <t>陆河县</t>
    </r>
  </si>
  <si>
    <r>
      <rPr>
        <sz val="11"/>
        <rFont val="宋体"/>
        <charset val="134"/>
      </rPr>
      <t>陆丰市</t>
    </r>
  </si>
  <si>
    <r>
      <rPr>
        <sz val="11"/>
        <rFont val="宋体"/>
        <charset val="134"/>
      </rPr>
      <t>海丰县</t>
    </r>
  </si>
  <si>
    <r>
      <rPr>
        <sz val="11"/>
        <rFont val="宋体"/>
        <charset val="134"/>
      </rPr>
      <t>阳春市</t>
    </r>
  </si>
  <si>
    <r>
      <rPr>
        <sz val="11"/>
        <rFont val="宋体"/>
        <charset val="134"/>
      </rPr>
      <t>徐闻县</t>
    </r>
  </si>
  <si>
    <r>
      <rPr>
        <sz val="11"/>
        <rFont val="宋体"/>
        <charset val="134"/>
      </rPr>
      <t>廉江市</t>
    </r>
  </si>
  <si>
    <r>
      <rPr>
        <sz val="11"/>
        <rFont val="宋体"/>
        <charset val="134"/>
      </rPr>
      <t>雷州市</t>
    </r>
  </si>
  <si>
    <r>
      <rPr>
        <sz val="11"/>
        <rFont val="宋体"/>
        <charset val="134"/>
      </rPr>
      <t>高州市</t>
    </r>
  </si>
  <si>
    <r>
      <rPr>
        <sz val="11"/>
        <rFont val="宋体"/>
        <charset val="134"/>
      </rPr>
      <t>化州市</t>
    </r>
  </si>
  <si>
    <r>
      <rPr>
        <sz val="11"/>
        <rFont val="宋体"/>
        <charset val="134"/>
      </rPr>
      <t>封开县</t>
    </r>
  </si>
  <si>
    <r>
      <rPr>
        <sz val="11"/>
        <rFont val="宋体"/>
        <charset val="134"/>
      </rPr>
      <t>怀集县</t>
    </r>
  </si>
  <si>
    <r>
      <rPr>
        <sz val="11"/>
        <rFont val="宋体"/>
        <charset val="134"/>
      </rPr>
      <t>德庆县</t>
    </r>
  </si>
  <si>
    <r>
      <rPr>
        <sz val="11"/>
        <rFont val="宋体"/>
        <charset val="134"/>
      </rPr>
      <t>广宁县</t>
    </r>
  </si>
  <si>
    <r>
      <rPr>
        <sz val="11"/>
        <rFont val="宋体"/>
        <charset val="134"/>
      </rPr>
      <t>英德市</t>
    </r>
  </si>
  <si>
    <r>
      <rPr>
        <sz val="11"/>
        <rFont val="宋体"/>
        <charset val="134"/>
      </rPr>
      <t>连山县</t>
    </r>
  </si>
  <si>
    <r>
      <rPr>
        <sz val="11"/>
        <rFont val="宋体"/>
        <charset val="134"/>
      </rPr>
      <t>连南县</t>
    </r>
  </si>
  <si>
    <r>
      <rPr>
        <sz val="11"/>
        <rFont val="宋体"/>
        <charset val="134"/>
      </rPr>
      <t>饶平县</t>
    </r>
  </si>
  <si>
    <r>
      <rPr>
        <sz val="11"/>
        <rFont val="宋体"/>
        <charset val="134"/>
      </rPr>
      <t>普宁市</t>
    </r>
  </si>
  <si>
    <r>
      <rPr>
        <sz val="11"/>
        <rFont val="宋体"/>
        <charset val="134"/>
      </rPr>
      <t>揭西县</t>
    </r>
  </si>
  <si>
    <r>
      <rPr>
        <sz val="11"/>
        <rFont val="宋体"/>
        <charset val="134"/>
      </rPr>
      <t>惠来县</t>
    </r>
  </si>
  <si>
    <r>
      <rPr>
        <sz val="11"/>
        <rFont val="宋体"/>
        <charset val="134"/>
      </rPr>
      <t>罗定市</t>
    </r>
  </si>
  <si>
    <r>
      <rPr>
        <sz val="11"/>
        <rFont val="宋体"/>
        <charset val="134"/>
      </rPr>
      <t>新兴县</t>
    </r>
  </si>
  <si>
    <r>
      <rPr>
        <b/>
        <sz val="18"/>
        <rFont val="Times New Roman"/>
        <charset val="134"/>
      </rPr>
      <t>2023</t>
    </r>
    <r>
      <rPr>
        <b/>
        <sz val="18"/>
        <rFont val="宋体"/>
        <charset val="134"/>
      </rPr>
      <t>年疫病防控项目资金分配表</t>
    </r>
  </si>
  <si>
    <t>单位：万元</t>
  </si>
  <si>
    <t>项目单位</t>
  </si>
  <si>
    <t>补助金额</t>
  </si>
  <si>
    <r>
      <rPr>
        <b/>
        <sz val="10"/>
        <rFont val="宋体"/>
        <charset val="134"/>
      </rPr>
      <t>扩大国家免疫规划项目</t>
    </r>
    <r>
      <rPr>
        <b/>
        <sz val="10"/>
        <rFont val="Times New Roman"/>
        <charset val="134"/>
      </rPr>
      <t xml:space="preserve">  </t>
    </r>
  </si>
  <si>
    <r>
      <rPr>
        <b/>
        <sz val="10"/>
        <rFont val="宋体"/>
        <charset val="134"/>
      </rPr>
      <t>艾滋病防治项目</t>
    </r>
    <r>
      <rPr>
        <b/>
        <sz val="10"/>
        <rFont val="Times New Roman"/>
        <charset val="134"/>
      </rPr>
      <t xml:space="preserve">   </t>
    </r>
  </si>
  <si>
    <r>
      <rPr>
        <b/>
        <sz val="10"/>
        <rFont val="宋体"/>
        <charset val="134"/>
      </rPr>
      <t>结核病防治项目</t>
    </r>
    <r>
      <rPr>
        <b/>
        <sz val="10"/>
        <rFont val="Times New Roman"/>
        <charset val="134"/>
      </rPr>
      <t xml:space="preserve"> </t>
    </r>
  </si>
  <si>
    <r>
      <rPr>
        <b/>
        <sz val="10"/>
        <rFont val="宋体"/>
        <charset val="134"/>
      </rPr>
      <t>急性重点传染病防治项目</t>
    </r>
    <r>
      <rPr>
        <b/>
        <sz val="10"/>
        <rFont val="Times New Roman"/>
        <charset val="134"/>
      </rPr>
      <t xml:space="preserve">              </t>
    </r>
  </si>
  <si>
    <r>
      <rPr>
        <b/>
        <sz val="10"/>
        <rFont val="宋体"/>
        <charset val="134"/>
      </rPr>
      <t>地方病与寄生虫病防治项目</t>
    </r>
    <r>
      <rPr>
        <b/>
        <sz val="10"/>
        <rFont val="Times New Roman"/>
        <charset val="134"/>
      </rPr>
      <t xml:space="preserve">             </t>
    </r>
  </si>
  <si>
    <r>
      <rPr>
        <b/>
        <sz val="10"/>
        <rFont val="宋体"/>
        <charset val="134"/>
      </rPr>
      <t>性病防治项目</t>
    </r>
    <r>
      <rPr>
        <b/>
        <sz val="10"/>
        <rFont val="Times New Roman"/>
        <charset val="134"/>
      </rPr>
      <t xml:space="preserve">   </t>
    </r>
  </si>
  <si>
    <r>
      <rPr>
        <b/>
        <sz val="10"/>
        <rFont val="宋体"/>
        <charset val="134"/>
      </rPr>
      <t>麻风病防治项目</t>
    </r>
    <r>
      <rPr>
        <b/>
        <sz val="10"/>
        <rFont val="Times New Roman"/>
        <charset val="134"/>
      </rPr>
      <t xml:space="preserve">  </t>
    </r>
  </si>
  <si>
    <r>
      <rPr>
        <b/>
        <sz val="10"/>
        <rFont val="宋体"/>
        <charset val="134"/>
      </rPr>
      <t>精神卫生项目</t>
    </r>
    <r>
      <rPr>
        <b/>
        <sz val="10"/>
        <rFont val="Times New Roman"/>
        <charset val="134"/>
      </rPr>
      <t xml:space="preserve">    </t>
    </r>
  </si>
  <si>
    <t>慢性病防治项目</t>
  </si>
  <si>
    <r>
      <rPr>
        <b/>
        <sz val="10"/>
        <rFont val="宋体"/>
        <charset val="134"/>
      </rPr>
      <t>饮用水监测与学校卫生项目</t>
    </r>
    <r>
      <rPr>
        <b/>
        <sz val="10"/>
        <rFont val="Times New Roman"/>
        <charset val="134"/>
      </rPr>
      <t xml:space="preserve">            </t>
    </r>
  </si>
  <si>
    <r>
      <rPr>
        <b/>
        <sz val="10"/>
        <rFont val="宋体"/>
        <charset val="134"/>
      </rPr>
      <t>公共卫生骨干人才培训项目</t>
    </r>
    <r>
      <rPr>
        <b/>
        <sz val="10"/>
        <rFont val="Times New Roman"/>
        <charset val="134"/>
      </rPr>
      <t xml:space="preserve">            </t>
    </r>
  </si>
  <si>
    <t>公共卫生综合服务项目和重大公卫项目预算绩效管理</t>
  </si>
  <si>
    <t>职业病防治项目</t>
  </si>
  <si>
    <t>应急处置</t>
  </si>
  <si>
    <t>人群慢性乙肝现患筛查、治疗和随访管理项目</t>
  </si>
  <si>
    <t>支出进度考核结果因素调整</t>
  </si>
  <si>
    <t>合计</t>
  </si>
  <si>
    <t>一、各地市</t>
  </si>
  <si>
    <t>广州市</t>
  </si>
  <si>
    <t>珠海市</t>
  </si>
  <si>
    <t>汕头市</t>
  </si>
  <si>
    <t>佛山市</t>
  </si>
  <si>
    <t>韶关市</t>
  </si>
  <si>
    <t>河源市</t>
  </si>
  <si>
    <t>梅州市</t>
  </si>
  <si>
    <t>惠州市</t>
  </si>
  <si>
    <t>汕尾市</t>
  </si>
  <si>
    <t>东莞市</t>
  </si>
  <si>
    <t>中山市</t>
  </si>
  <si>
    <t>江门市</t>
  </si>
  <si>
    <t>阳江市</t>
  </si>
  <si>
    <t>湛江市</t>
  </si>
  <si>
    <t>茂名市</t>
  </si>
  <si>
    <t>肇庆市</t>
  </si>
  <si>
    <t>清远市</t>
  </si>
  <si>
    <t>潮州市</t>
  </si>
  <si>
    <t>揭阳市</t>
  </si>
  <si>
    <t>云浮市</t>
  </si>
  <si>
    <t>二、财政省直管县</t>
  </si>
  <si>
    <t>南澳县</t>
  </si>
  <si>
    <t>南雄市</t>
  </si>
  <si>
    <t>仁化县</t>
  </si>
  <si>
    <t>乳源瑶族自治县</t>
  </si>
  <si>
    <t>翁源县</t>
  </si>
  <si>
    <t>紫金县</t>
  </si>
  <si>
    <t>龙川县</t>
  </si>
  <si>
    <t>连平县</t>
  </si>
  <si>
    <t>兴宁市</t>
  </si>
  <si>
    <t>五华县</t>
  </si>
  <si>
    <t>丰顺县</t>
  </si>
  <si>
    <t>大埔县</t>
  </si>
  <si>
    <t>博罗县</t>
  </si>
  <si>
    <t>陆河县</t>
  </si>
  <si>
    <t>陆丰市</t>
  </si>
  <si>
    <t>海丰县</t>
  </si>
  <si>
    <t>阳春市</t>
  </si>
  <si>
    <t>徐闻县</t>
  </si>
  <si>
    <t>廉江市</t>
  </si>
  <si>
    <t>雷州市</t>
  </si>
  <si>
    <t>高州市</t>
  </si>
  <si>
    <t>化州市</t>
  </si>
  <si>
    <t>封开县</t>
  </si>
  <si>
    <t>怀集县</t>
  </si>
  <si>
    <t>德庆县</t>
  </si>
  <si>
    <t>广宁县</t>
  </si>
  <si>
    <t>英德市</t>
  </si>
  <si>
    <t>连山壮族瑶族自治县</t>
  </si>
  <si>
    <t>连南瑶族自治县</t>
  </si>
  <si>
    <t>饶平县</t>
  </si>
  <si>
    <t>普宁市</t>
  </si>
  <si>
    <t>揭西县</t>
  </si>
  <si>
    <t>惠来县</t>
  </si>
  <si>
    <t>罗定市</t>
  </si>
  <si>
    <t>新兴县</t>
  </si>
  <si>
    <t>注：
1.各地市应保证麻风休养员生活费标准不低于当地城镇居民最低生活保障线。
2..慢性病防治项目广州市预算金额含广州医科大学附属第一医院健康广东呼吸防治项目预算30万元，支出内容包括培训费、宣传费、材料费、出版费、劳务费、差旅费等。
3.慢性病防治项目基层医疗机构高血压糖尿病规范（示范）区建设，广州市越秀区白云街社区卫生服务中心、海珠区沙园街社区卫生服务中心、番禺区东环街社区卫生服务中心、增城区石滩镇中心卫生院，珠海市金湾区三灶镇卫生院，东莞市塘厦镇社区卫生服务中心、麻涌镇社区卫生服务中心等7家单位各5万元工作经费。
4.公共卫生骨干人才培训项目 ：GDFETP实践基地单位共有9个（广州、深圳、佛山、珠海、东莞、中山、肇庆、清远、深圳罗湖），基地补助费用3万元/单位*7个单位（广州、佛山、珠海、东莞、中山、肇庆、清远），用于基地建设工作包含学员用餐、宿舍租赁和维护、工作差旅等后勤保障事务及日常教学所需设备购置等。
5.结核病防治项目补助河源市、惠州市、肇庆怀集县、潮州湘桥区、汕头澄海区等5家结核病防治机构各100万元，为人口较多、工作需求较迫切的部分地市级和县区级结核病防治机构提供经费购买移动DR车，以提高主动发现病人的能力。基于重点人群和重点场所属于群体性及基层服务能力不足等的实际情况，计划配置移动DR车，并采取5G+AI人工智能辅助诊断的配置，搭建远程技术诊断平台，切实加强诊断能力和水平。
6.应急处置-鼠疫项目：疫源地监测点（国家监测点廉江市，省固定监测点麻章区、雷州市、遂溪县）,活体鼠检测全年不少于1000只,国家监测点补助9万元/监测点，固定监测点7万元/监测点；其它流动监测点（珠海、东莞、汕尾（陆丰）、清远（佛岗））补助3万元/监测点；同时补助湛江鼠疫防治研究所8万元用于组织鼠疫监测、物资储备、调研、健康宣教、专业人员培训、技术指导等工作。</t>
  </si>
  <si>
    <t>附件4-1</t>
  </si>
  <si>
    <t>2023年省级疫病防控项目资金测算表(市县部分)</t>
  </si>
  <si>
    <t xml:space="preserve">
</t>
  </si>
  <si>
    <t>预算单位</t>
  </si>
  <si>
    <t>扩大免疫规划</t>
  </si>
  <si>
    <t>艾滋病防治</t>
  </si>
  <si>
    <t>结核病防控</t>
  </si>
  <si>
    <t>重点急性传染病防治</t>
  </si>
  <si>
    <r>
      <rPr>
        <b/>
        <sz val="10"/>
        <rFont val="宋体"/>
        <charset val="134"/>
      </rPr>
      <t>地方病与寄生虫病防治项目</t>
    </r>
    <r>
      <rPr>
        <b/>
        <sz val="10"/>
        <rFont val="Times New Roman"/>
        <charset val="134"/>
      </rPr>
      <t xml:space="preserve"> </t>
    </r>
  </si>
  <si>
    <t>性病防控</t>
  </si>
  <si>
    <t>麻风病防控</t>
  </si>
  <si>
    <t>精神卫生</t>
  </si>
  <si>
    <t>慢性病综合防治</t>
  </si>
  <si>
    <t>牙病防治</t>
  </si>
  <si>
    <t>基层医疗机构高血压糖尿病规范（示范）区建设</t>
  </si>
  <si>
    <t>慢病防治项目补助资金（含广州医科大学附属第一医院30万元）</t>
  </si>
  <si>
    <t>饮用水监测项目</t>
  </si>
  <si>
    <t>学校卫生及儿童青少年近视防控</t>
  </si>
  <si>
    <t>公共卫生骨干人才培训项目</t>
  </si>
  <si>
    <t>职业病防治</t>
  </si>
  <si>
    <t>鼠疫防治</t>
  </si>
  <si>
    <r>
      <rPr>
        <b/>
        <sz val="10"/>
        <rFont val="宋体"/>
        <charset val="134"/>
      </rPr>
      <t>合计</t>
    </r>
    <r>
      <rPr>
        <b/>
        <sz val="10"/>
        <rFont val="Times New Roman"/>
        <charset val="134"/>
      </rPr>
      <t xml:space="preserve">
(</t>
    </r>
    <r>
      <rPr>
        <b/>
        <sz val="10"/>
        <rFont val="宋体"/>
        <charset val="134"/>
      </rPr>
      <t>含广州医科大学附属第一医院30万元</t>
    </r>
    <r>
      <rPr>
        <b/>
        <sz val="10"/>
        <rFont val="Times New Roman"/>
        <charset val="134"/>
      </rPr>
      <t>)</t>
    </r>
  </si>
  <si>
    <t>免疫规划疫苗报告接种率实种数（剂次）</t>
  </si>
  <si>
    <t>系数</t>
  </si>
  <si>
    <t xml:space="preserve">补助资金   </t>
  </si>
  <si>
    <r>
      <rPr>
        <b/>
        <sz val="9"/>
        <rFont val="宋体"/>
        <charset val="134"/>
      </rPr>
      <t>现存活</t>
    </r>
    <r>
      <rPr>
        <b/>
        <sz val="9"/>
        <rFont val="Times New Roman"/>
        <charset val="134"/>
      </rPr>
      <t>HIV/AIDS</t>
    </r>
    <r>
      <rPr>
        <b/>
        <sz val="9"/>
        <rFont val="宋体"/>
        <charset val="134"/>
      </rPr>
      <t>数（人）</t>
    </r>
  </si>
  <si>
    <r>
      <rPr>
        <b/>
        <sz val="9"/>
        <rFont val="Times New Roman"/>
        <charset val="134"/>
      </rPr>
      <t>HIV</t>
    </r>
    <r>
      <rPr>
        <b/>
        <sz val="9"/>
        <rFont val="宋体"/>
        <charset val="134"/>
      </rPr>
      <t>扩大检测人数（人）</t>
    </r>
  </si>
  <si>
    <t>补助资金</t>
  </si>
  <si>
    <r>
      <rPr>
        <b/>
        <sz val="9"/>
        <rFont val="Times New Roman"/>
        <charset val="134"/>
      </rPr>
      <t>MDR</t>
    </r>
    <r>
      <rPr>
        <b/>
        <sz val="9"/>
        <rFont val="宋体"/>
        <charset val="134"/>
      </rPr>
      <t>患者数（人）</t>
    </r>
  </si>
  <si>
    <t>终结结核流行综合干预示范区项目（个）</t>
  </si>
  <si>
    <t>耐药肺结核患者关怀试点项目（个）</t>
  </si>
  <si>
    <t>涂阴肺结核患者数</t>
  </si>
  <si>
    <t>补助资金1</t>
  </si>
  <si>
    <t>诊断能力建设
(补助资金2)</t>
  </si>
  <si>
    <t>哨点监测任务数</t>
  </si>
  <si>
    <t>实验室检测任务数</t>
  </si>
  <si>
    <t>补助比例调整</t>
  </si>
  <si>
    <t>综合补助比例后系数</t>
  </si>
  <si>
    <t>地方病监测市级复核样品数</t>
  </si>
  <si>
    <t>媒介监测流调质控县（区）数</t>
  </si>
  <si>
    <t>疟疾媒介监测点数</t>
  </si>
  <si>
    <t>省级寄生虫监测点及蛲虫试点数</t>
  </si>
  <si>
    <t>血吸虫监测项目数</t>
  </si>
  <si>
    <t>钉螺疫情处置任务数（点）</t>
  </si>
  <si>
    <t>血防基地建设</t>
  </si>
  <si>
    <t>疫情报告及管理地区数量</t>
  </si>
  <si>
    <t>疫情报告及管理个案调查数量</t>
  </si>
  <si>
    <t>性病主动监测样本收集数量</t>
  </si>
  <si>
    <t>耐药监测样本收集数量</t>
  </si>
  <si>
    <t>性病质控管理</t>
  </si>
  <si>
    <t>高危人群性病干预管理</t>
  </si>
  <si>
    <t>广东省防治生殖道衣原体感染试点项目</t>
  </si>
  <si>
    <t>性病防治督导宣教及培训经费</t>
  </si>
  <si>
    <t>麻风休养员补助人数</t>
  </si>
  <si>
    <t>症状监测筛查可疑者例数</t>
  </si>
  <si>
    <r>
      <rPr>
        <b/>
        <sz val="8"/>
        <rFont val="宋体"/>
        <charset val="134"/>
      </rPr>
      <t>患者规范管理治疗经费（补助标准：</t>
    </r>
    <r>
      <rPr>
        <b/>
        <sz val="8"/>
        <rFont val="Times New Roman"/>
        <charset val="134"/>
      </rPr>
      <t>8.61</t>
    </r>
    <r>
      <rPr>
        <b/>
        <sz val="8"/>
        <rFont val="宋体"/>
        <charset val="134"/>
      </rPr>
      <t>元</t>
    </r>
    <r>
      <rPr>
        <b/>
        <sz val="8"/>
        <rFont val="Times New Roman"/>
        <charset val="134"/>
      </rPr>
      <t>/</t>
    </r>
    <r>
      <rPr>
        <b/>
        <sz val="8"/>
        <rFont val="宋体"/>
        <charset val="134"/>
      </rPr>
      <t>人）</t>
    </r>
  </si>
  <si>
    <r>
      <rPr>
        <b/>
        <sz val="8"/>
        <rFont val="宋体"/>
        <charset val="134"/>
      </rPr>
      <t>技术培训和宣传经费（补助标准：</t>
    </r>
    <r>
      <rPr>
        <b/>
        <sz val="8"/>
        <rFont val="Times New Roman"/>
        <charset val="134"/>
      </rPr>
      <t>250</t>
    </r>
    <r>
      <rPr>
        <b/>
        <sz val="8"/>
        <rFont val="宋体"/>
        <charset val="134"/>
      </rPr>
      <t>元</t>
    </r>
    <r>
      <rPr>
        <b/>
        <sz val="8"/>
        <rFont val="Times New Roman"/>
        <charset val="134"/>
      </rPr>
      <t>/</t>
    </r>
    <r>
      <rPr>
        <b/>
        <sz val="8"/>
        <rFont val="宋体"/>
        <charset val="134"/>
      </rPr>
      <t>人次）</t>
    </r>
  </si>
  <si>
    <r>
      <rPr>
        <b/>
        <sz val="8"/>
        <rFont val="宋体"/>
        <charset val="134"/>
      </rPr>
      <t>督导考核经费（补助标准：市级</t>
    </r>
    <r>
      <rPr>
        <b/>
        <sz val="8"/>
        <rFont val="Times New Roman"/>
        <charset val="134"/>
      </rPr>
      <t>800</t>
    </r>
    <r>
      <rPr>
        <b/>
        <sz val="8"/>
        <rFont val="宋体"/>
        <charset val="134"/>
      </rPr>
      <t>元</t>
    </r>
    <r>
      <rPr>
        <b/>
        <sz val="8"/>
        <rFont val="Times New Roman"/>
        <charset val="134"/>
      </rPr>
      <t>/</t>
    </r>
    <r>
      <rPr>
        <b/>
        <sz val="8"/>
        <rFont val="宋体"/>
        <charset val="134"/>
      </rPr>
      <t>天，</t>
    </r>
    <r>
      <rPr>
        <b/>
        <sz val="8"/>
        <rFont val="Times New Roman"/>
        <charset val="134"/>
      </rPr>
      <t>2</t>
    </r>
    <r>
      <rPr>
        <b/>
        <sz val="8"/>
        <rFont val="宋体"/>
        <charset val="134"/>
      </rPr>
      <t>天；县级</t>
    </r>
    <r>
      <rPr>
        <b/>
        <sz val="8"/>
        <rFont val="Times New Roman"/>
        <charset val="134"/>
      </rPr>
      <t>400</t>
    </r>
    <r>
      <rPr>
        <b/>
        <sz val="8"/>
        <rFont val="宋体"/>
        <charset val="134"/>
      </rPr>
      <t>元</t>
    </r>
    <r>
      <rPr>
        <b/>
        <sz val="8"/>
        <rFont val="Times New Roman"/>
        <charset val="134"/>
      </rPr>
      <t>/</t>
    </r>
    <r>
      <rPr>
        <b/>
        <sz val="8"/>
        <rFont val="宋体"/>
        <charset val="134"/>
      </rPr>
      <t>天，</t>
    </r>
    <r>
      <rPr>
        <b/>
        <sz val="8"/>
        <rFont val="Times New Roman"/>
        <charset val="134"/>
      </rPr>
      <t>1</t>
    </r>
    <r>
      <rPr>
        <b/>
        <sz val="8"/>
        <rFont val="宋体"/>
        <charset val="134"/>
      </rPr>
      <t>天。）</t>
    </r>
  </si>
  <si>
    <r>
      <rPr>
        <b/>
        <sz val="8"/>
        <rFont val="宋体"/>
        <charset val="134"/>
      </rPr>
      <t>精神科医师转岗培训经费（补助标准：</t>
    </r>
    <r>
      <rPr>
        <b/>
        <sz val="8"/>
        <rFont val="Times New Roman"/>
        <charset val="134"/>
      </rPr>
      <t>1.5</t>
    </r>
    <r>
      <rPr>
        <b/>
        <sz val="8"/>
        <rFont val="宋体"/>
        <charset val="134"/>
      </rPr>
      <t>万元</t>
    </r>
    <r>
      <rPr>
        <b/>
        <sz val="8"/>
        <rFont val="Times New Roman"/>
        <charset val="134"/>
      </rPr>
      <t>/</t>
    </r>
    <r>
      <rPr>
        <b/>
        <sz val="8"/>
        <rFont val="宋体"/>
        <charset val="134"/>
      </rPr>
      <t>人）</t>
    </r>
  </si>
  <si>
    <t>市精卫中心心理援助热线建设（20万元1个地市）</t>
  </si>
  <si>
    <t>慢病示范区任务数（点）</t>
  </si>
  <si>
    <t>伤害监测任务数（点）</t>
  </si>
  <si>
    <t>伤害干预任务数（点）</t>
  </si>
  <si>
    <t>全民健康生活方式任务数（点）</t>
  </si>
  <si>
    <t>重点慢性病综合干预任务数（点）</t>
  </si>
  <si>
    <t>高血压和糖尿病管理能力提升项目任务数（点）</t>
  </si>
  <si>
    <t>慢病综合监测任务数（点）</t>
  </si>
  <si>
    <t>窝沟封闭（颗）</t>
  </si>
  <si>
    <t>局部用氟（人）</t>
  </si>
  <si>
    <r>
      <rPr>
        <b/>
        <sz val="9"/>
        <rFont val="宋体"/>
        <charset val="134"/>
      </rPr>
      <t>随访任务，</t>
    </r>
    <r>
      <rPr>
        <b/>
        <sz val="9"/>
        <rFont val="Times New Roman"/>
        <charset val="134"/>
      </rPr>
      <t>1000</t>
    </r>
    <r>
      <rPr>
        <b/>
        <sz val="9"/>
        <rFont val="宋体"/>
        <charset val="134"/>
      </rPr>
      <t>人</t>
    </r>
    <r>
      <rPr>
        <b/>
        <sz val="9"/>
        <rFont val="Times New Roman"/>
        <charset val="134"/>
      </rPr>
      <t>/</t>
    </r>
    <r>
      <rPr>
        <b/>
        <sz val="9"/>
        <rFont val="宋体"/>
        <charset val="134"/>
      </rPr>
      <t>社区</t>
    </r>
    <r>
      <rPr>
        <b/>
        <sz val="9"/>
        <rFont val="Times New Roman"/>
        <charset val="134"/>
      </rPr>
      <t xml:space="preserve">
</t>
    </r>
    <r>
      <rPr>
        <b/>
        <sz val="9"/>
        <rFont val="宋体"/>
        <charset val="134"/>
      </rPr>
      <t>（人）</t>
    </r>
  </si>
  <si>
    <t>生活饮用水监测点（点）</t>
  </si>
  <si>
    <t>学生常见病监测近视筛查省级监测县区（点）</t>
  </si>
  <si>
    <t>全国儿童青少年近视防控适宜技术试点县区（点）</t>
  </si>
  <si>
    <t>学生传染病症状监测县区（点）</t>
  </si>
  <si>
    <r>
      <rPr>
        <b/>
        <sz val="9"/>
        <rFont val="Times New Roman"/>
        <charset val="134"/>
      </rPr>
      <t>GDFETP</t>
    </r>
    <r>
      <rPr>
        <b/>
        <sz val="9"/>
        <rFont val="宋体"/>
        <charset val="134"/>
      </rPr>
      <t>实践基地</t>
    </r>
    <r>
      <rPr>
        <b/>
        <sz val="9"/>
        <rFont val="Times New Roman"/>
        <charset val="134"/>
      </rPr>
      <t xml:space="preserve">
</t>
    </r>
    <r>
      <rPr>
        <b/>
        <sz val="9"/>
        <rFont val="宋体"/>
        <charset val="134"/>
      </rPr>
      <t>（个）</t>
    </r>
  </si>
  <si>
    <t>补助资金（用于监管人员培训、职业病防治宣传教育等工作）</t>
  </si>
  <si>
    <t>补助资金（具体测试标准见总表备注）</t>
  </si>
  <si>
    <t>①</t>
  </si>
  <si>
    <r>
      <rPr>
        <sz val="8"/>
        <rFont val="宋体-简"/>
        <charset val="134"/>
      </rPr>
      <t>②</t>
    </r>
    <r>
      <rPr>
        <sz val="8"/>
        <rFont val="Times New Roman"/>
        <charset val="134"/>
      </rPr>
      <t>=</t>
    </r>
    <r>
      <rPr>
        <sz val="8"/>
        <rFont val="宋体-简"/>
        <charset val="134"/>
      </rPr>
      <t>①</t>
    </r>
    <r>
      <rPr>
        <sz val="8"/>
        <rFont val="宋体"/>
        <charset val="134"/>
      </rPr>
      <t>栏</t>
    </r>
    <r>
      <rPr>
        <sz val="8"/>
        <rFont val="Times New Roman"/>
        <charset val="134"/>
      </rPr>
      <t>/∑</t>
    </r>
    <r>
      <rPr>
        <sz val="8"/>
        <rFont val="宋体-简"/>
        <charset val="134"/>
      </rPr>
      <t>①</t>
    </r>
  </si>
  <si>
    <r>
      <rPr>
        <sz val="8"/>
        <rFont val="Times New Roman"/>
        <charset val="134"/>
      </rPr>
      <t>[1]=</t>
    </r>
    <r>
      <rPr>
        <sz val="8"/>
        <rFont val="宋体"/>
        <charset val="134"/>
      </rPr>
      <t>（</t>
    </r>
    <r>
      <rPr>
        <sz val="8"/>
        <rFont val="Times New Roman"/>
        <charset val="134"/>
      </rPr>
      <t>205</t>
    </r>
    <r>
      <rPr>
        <sz val="8"/>
        <rFont val="宋体"/>
        <charset val="134"/>
      </rPr>
      <t>）</t>
    </r>
    <r>
      <rPr>
        <sz val="8"/>
        <rFont val="Times New Roman"/>
        <charset val="134"/>
      </rPr>
      <t>*</t>
    </r>
    <r>
      <rPr>
        <sz val="8"/>
        <rFont val="宋体"/>
        <charset val="134"/>
      </rPr>
      <t>②</t>
    </r>
  </si>
  <si>
    <t>②</t>
  </si>
  <si>
    <r>
      <rPr>
        <sz val="8"/>
        <rFont val="宋体-简"/>
        <charset val="134"/>
      </rPr>
      <t>③</t>
    </r>
    <r>
      <rPr>
        <sz val="8"/>
        <rFont val="Times New Roman"/>
        <charset val="134"/>
      </rPr>
      <t>=</t>
    </r>
    <r>
      <rPr>
        <sz val="8"/>
        <rFont val="宋体"/>
        <charset val="134"/>
      </rPr>
      <t>（</t>
    </r>
    <r>
      <rPr>
        <sz val="8"/>
        <rFont val="宋体-简"/>
        <charset val="134"/>
      </rPr>
      <t>①</t>
    </r>
    <r>
      <rPr>
        <sz val="8"/>
        <rFont val="Times New Roman"/>
        <charset val="134"/>
      </rPr>
      <t>*0.0276+</t>
    </r>
    <r>
      <rPr>
        <sz val="8"/>
        <rFont val="宋体-简"/>
        <charset val="134"/>
      </rPr>
      <t>②</t>
    </r>
    <r>
      <rPr>
        <sz val="8"/>
        <rFont val="Times New Roman"/>
        <charset val="134"/>
      </rPr>
      <t>*0.001)/(∑</t>
    </r>
    <r>
      <rPr>
        <sz val="8"/>
        <rFont val="宋体-简"/>
        <charset val="134"/>
      </rPr>
      <t>①</t>
    </r>
    <r>
      <rPr>
        <sz val="8"/>
        <rFont val="Times New Roman"/>
        <charset val="134"/>
      </rPr>
      <t>*0.0276+∑</t>
    </r>
    <r>
      <rPr>
        <sz val="8"/>
        <rFont val="宋体-简"/>
        <charset val="134"/>
      </rPr>
      <t>②</t>
    </r>
    <r>
      <rPr>
        <sz val="8"/>
        <rFont val="Times New Roman"/>
        <charset val="134"/>
      </rPr>
      <t>*0.001</t>
    </r>
    <r>
      <rPr>
        <sz val="8"/>
        <rFont val="宋体"/>
        <charset val="134"/>
      </rPr>
      <t>）</t>
    </r>
  </si>
  <si>
    <r>
      <rPr>
        <sz val="8"/>
        <rFont val="Times New Roman"/>
        <charset val="134"/>
      </rPr>
      <t>[2]=</t>
    </r>
    <r>
      <rPr>
        <sz val="8"/>
        <rFont val="宋体"/>
        <charset val="134"/>
      </rPr>
      <t>（</t>
    </r>
    <r>
      <rPr>
        <sz val="8"/>
        <rFont val="Times New Roman"/>
        <charset val="134"/>
      </rPr>
      <t>2832</t>
    </r>
    <r>
      <rPr>
        <sz val="8"/>
        <rFont val="宋体"/>
        <charset val="134"/>
      </rPr>
      <t>）</t>
    </r>
    <r>
      <rPr>
        <sz val="8"/>
        <rFont val="Times New Roman"/>
        <charset val="134"/>
      </rPr>
      <t>*</t>
    </r>
    <r>
      <rPr>
        <sz val="8"/>
        <rFont val="宋体"/>
        <charset val="134"/>
      </rPr>
      <t>③</t>
    </r>
  </si>
  <si>
    <t>③</t>
  </si>
  <si>
    <t>④</t>
  </si>
  <si>
    <t>⑤=（①*4.1+②*50+③*10+④*0.02）/1250.12</t>
  </si>
  <si>
    <r>
      <rPr>
        <sz val="8"/>
        <rFont val="Times New Roman"/>
        <charset val="134"/>
      </rPr>
      <t>[3-1]=</t>
    </r>
    <r>
      <rPr>
        <sz val="8"/>
        <rFont val="宋体"/>
        <charset val="134"/>
      </rPr>
      <t>（</t>
    </r>
    <r>
      <rPr>
        <sz val="8"/>
        <rFont val="Times New Roman"/>
        <charset val="134"/>
      </rPr>
      <t>701.40</t>
    </r>
    <r>
      <rPr>
        <sz val="8"/>
        <rFont val="宋体"/>
        <charset val="134"/>
      </rPr>
      <t>）</t>
    </r>
    <r>
      <rPr>
        <sz val="8"/>
        <rFont val="Times New Roman"/>
        <charset val="134"/>
      </rPr>
      <t>*</t>
    </r>
    <r>
      <rPr>
        <sz val="8"/>
        <rFont val="宋体"/>
        <charset val="134"/>
      </rPr>
      <t>⑥</t>
    </r>
  </si>
  <si>
    <t>[3-2]</t>
  </si>
  <si>
    <t>[3]=[3-1]+[3-2]</t>
  </si>
  <si>
    <r>
      <rPr>
        <sz val="8"/>
        <rFont val="宋体"/>
        <charset val="134"/>
      </rPr>
      <t>③</t>
    </r>
    <r>
      <rPr>
        <sz val="8"/>
        <rFont val="Times New Roman"/>
        <charset val="134"/>
      </rPr>
      <t>=</t>
    </r>
    <r>
      <rPr>
        <sz val="8"/>
        <rFont val="宋体"/>
        <charset val="134"/>
      </rPr>
      <t>（①</t>
    </r>
    <r>
      <rPr>
        <sz val="8"/>
        <rFont val="Times New Roman"/>
        <charset val="134"/>
      </rPr>
      <t>*0.0027+</t>
    </r>
    <r>
      <rPr>
        <sz val="8"/>
        <rFont val="宋体"/>
        <charset val="134"/>
      </rPr>
      <t>②</t>
    </r>
    <r>
      <rPr>
        <sz val="8"/>
        <rFont val="Times New Roman"/>
        <charset val="134"/>
      </rPr>
      <t>*0.055)/(∑</t>
    </r>
    <r>
      <rPr>
        <sz val="8"/>
        <rFont val="宋体"/>
        <charset val="134"/>
      </rPr>
      <t>①</t>
    </r>
    <r>
      <rPr>
        <sz val="8"/>
        <rFont val="Times New Roman"/>
        <charset val="134"/>
      </rPr>
      <t>*0.0027+∑</t>
    </r>
    <r>
      <rPr>
        <sz val="8"/>
        <rFont val="宋体"/>
        <charset val="134"/>
      </rPr>
      <t>②</t>
    </r>
    <r>
      <rPr>
        <sz val="8"/>
        <rFont val="Times New Roman"/>
        <charset val="134"/>
      </rPr>
      <t>*0.055</t>
    </r>
    <r>
      <rPr>
        <sz val="8"/>
        <rFont val="宋体"/>
        <charset val="134"/>
      </rPr>
      <t>）</t>
    </r>
  </si>
  <si>
    <r>
      <rPr>
        <sz val="8"/>
        <rFont val="宋体-简"/>
        <charset val="134"/>
      </rPr>
      <t>④</t>
    </r>
    <r>
      <rPr>
        <sz val="8"/>
        <rFont val="Times New Roman"/>
        <charset val="134"/>
      </rPr>
      <t>*</t>
    </r>
    <r>
      <rPr>
        <sz val="8"/>
        <rFont val="宋体-简"/>
        <charset val="134"/>
      </rPr>
      <t>补助比例（珠三角地区按50%安排）</t>
    </r>
  </si>
  <si>
    <r>
      <rPr>
        <sz val="8"/>
        <rFont val="宋体-简"/>
        <charset val="134"/>
      </rPr>
      <t>⑤</t>
    </r>
    <r>
      <rPr>
        <sz val="8"/>
        <rFont val="Times New Roman"/>
        <charset val="134"/>
      </rPr>
      <t>=</t>
    </r>
    <r>
      <rPr>
        <sz val="8"/>
        <rFont val="宋体-简"/>
        <charset val="134"/>
      </rPr>
      <t>④</t>
    </r>
    <r>
      <rPr>
        <sz val="8"/>
        <rFont val="Times New Roman"/>
        <charset val="134"/>
      </rPr>
      <t>/∑(</t>
    </r>
    <r>
      <rPr>
        <sz val="8"/>
        <rFont val="宋体-简"/>
        <charset val="134"/>
      </rPr>
      <t>④</t>
    </r>
  </si>
  <si>
    <r>
      <rPr>
        <sz val="8"/>
        <rFont val="Times New Roman"/>
        <charset val="134"/>
      </rPr>
      <t>[4]=</t>
    </r>
    <r>
      <rPr>
        <sz val="8"/>
        <rFont val="宋体"/>
        <charset val="134"/>
      </rPr>
      <t>（</t>
    </r>
    <r>
      <rPr>
        <sz val="8"/>
        <rFont val="Times New Roman"/>
        <charset val="134"/>
      </rPr>
      <t>1329.42</t>
    </r>
    <r>
      <rPr>
        <sz val="8"/>
        <rFont val="宋体"/>
        <charset val="134"/>
      </rPr>
      <t>）</t>
    </r>
    <r>
      <rPr>
        <sz val="8"/>
        <rFont val="Times New Roman"/>
        <charset val="134"/>
      </rPr>
      <t>*</t>
    </r>
    <r>
      <rPr>
        <sz val="8"/>
        <rFont val="宋体-简"/>
        <charset val="134"/>
      </rPr>
      <t>⑤</t>
    </r>
  </si>
  <si>
    <t>⑤</t>
  </si>
  <si>
    <t>⑥</t>
  </si>
  <si>
    <t>⑦</t>
  </si>
  <si>
    <r>
      <rPr>
        <sz val="8"/>
        <rFont val="宋体"/>
        <charset val="134"/>
      </rPr>
      <t>⑧</t>
    </r>
    <r>
      <rPr>
        <sz val="8"/>
        <rFont val="Times New Roman"/>
        <charset val="134"/>
      </rPr>
      <t>=(</t>
    </r>
    <r>
      <rPr>
        <sz val="8"/>
        <rFont val="宋体-简"/>
        <charset val="134"/>
      </rPr>
      <t>①</t>
    </r>
    <r>
      <rPr>
        <sz val="8"/>
        <rFont val="Times New Roman"/>
        <charset val="134"/>
      </rPr>
      <t>*0.01+</t>
    </r>
    <r>
      <rPr>
        <sz val="8"/>
        <rFont val="宋体-简"/>
        <charset val="134"/>
      </rPr>
      <t>②</t>
    </r>
    <r>
      <rPr>
        <sz val="8"/>
        <rFont val="Times New Roman"/>
        <charset val="134"/>
      </rPr>
      <t>*2+</t>
    </r>
    <r>
      <rPr>
        <sz val="8"/>
        <rFont val="宋体-简"/>
        <charset val="134"/>
      </rPr>
      <t>③</t>
    </r>
    <r>
      <rPr>
        <sz val="8"/>
        <rFont val="Times New Roman"/>
        <charset val="134"/>
      </rPr>
      <t>*2+</t>
    </r>
    <r>
      <rPr>
        <sz val="8"/>
        <rFont val="宋体"/>
        <charset val="134"/>
      </rPr>
      <t>④</t>
    </r>
    <r>
      <rPr>
        <sz val="8"/>
        <rFont val="Times New Roman"/>
        <charset val="134"/>
      </rPr>
      <t>*5+</t>
    </r>
    <r>
      <rPr>
        <sz val="8"/>
        <rFont val="宋体"/>
        <charset val="134"/>
      </rPr>
      <t>⑤</t>
    </r>
    <r>
      <rPr>
        <sz val="8"/>
        <rFont val="Times New Roman"/>
        <charset val="134"/>
      </rPr>
      <t>*2+</t>
    </r>
    <r>
      <rPr>
        <sz val="8"/>
        <rFont val="宋体"/>
        <charset val="134"/>
      </rPr>
      <t>⑥</t>
    </r>
    <r>
      <rPr>
        <sz val="8"/>
        <rFont val="Times New Roman"/>
        <charset val="134"/>
      </rPr>
      <t>*37.15+</t>
    </r>
    <r>
      <rPr>
        <sz val="8"/>
        <rFont val="宋体"/>
        <charset val="134"/>
      </rPr>
      <t>⑦</t>
    </r>
    <r>
      <rPr>
        <sz val="8"/>
        <rFont val="Times New Roman"/>
        <charset val="134"/>
      </rPr>
      <t>*20)/(</t>
    </r>
    <r>
      <rPr>
        <sz val="8"/>
        <rFont val="宋体"/>
        <charset val="134"/>
      </rPr>
      <t>∑①</t>
    </r>
    <r>
      <rPr>
        <sz val="8"/>
        <rFont val="Times New Roman"/>
        <charset val="134"/>
      </rPr>
      <t>*0.01+</t>
    </r>
    <r>
      <rPr>
        <sz val="8"/>
        <rFont val="宋体"/>
        <charset val="134"/>
      </rPr>
      <t>∑②</t>
    </r>
    <r>
      <rPr>
        <sz val="8"/>
        <rFont val="Times New Roman"/>
        <charset val="134"/>
      </rPr>
      <t>*2+</t>
    </r>
    <r>
      <rPr>
        <sz val="8"/>
        <rFont val="宋体"/>
        <charset val="134"/>
      </rPr>
      <t>∑③</t>
    </r>
    <r>
      <rPr>
        <sz val="8"/>
        <rFont val="Times New Roman"/>
        <charset val="134"/>
      </rPr>
      <t>*2+</t>
    </r>
    <r>
      <rPr>
        <sz val="8"/>
        <rFont val="宋体"/>
        <charset val="134"/>
      </rPr>
      <t>∑④</t>
    </r>
    <r>
      <rPr>
        <sz val="8"/>
        <rFont val="Times New Roman"/>
        <charset val="134"/>
      </rPr>
      <t>*5+</t>
    </r>
    <r>
      <rPr>
        <sz val="8"/>
        <rFont val="宋体"/>
        <charset val="134"/>
      </rPr>
      <t>∑⑤</t>
    </r>
    <r>
      <rPr>
        <sz val="8"/>
        <rFont val="Times New Roman"/>
        <charset val="134"/>
      </rPr>
      <t>*2+</t>
    </r>
    <r>
      <rPr>
        <sz val="8"/>
        <rFont val="宋体"/>
        <charset val="134"/>
      </rPr>
      <t>∑⑥</t>
    </r>
    <r>
      <rPr>
        <sz val="8"/>
        <rFont val="Times New Roman"/>
        <charset val="134"/>
      </rPr>
      <t>*37.15+</t>
    </r>
    <r>
      <rPr>
        <sz val="8"/>
        <rFont val="宋体"/>
        <charset val="134"/>
      </rPr>
      <t>∑⑦</t>
    </r>
    <r>
      <rPr>
        <sz val="8"/>
        <rFont val="Times New Roman"/>
        <charset val="134"/>
      </rPr>
      <t>*20)</t>
    </r>
  </si>
  <si>
    <r>
      <rPr>
        <sz val="8"/>
        <rFont val="Times New Roman"/>
        <charset val="134"/>
      </rPr>
      <t>[5]=299.2*</t>
    </r>
    <r>
      <rPr>
        <sz val="8"/>
        <rFont val="宋体"/>
        <charset val="134"/>
      </rPr>
      <t>⑧</t>
    </r>
  </si>
  <si>
    <t>一</t>
  </si>
  <si>
    <t>二</t>
  </si>
  <si>
    <t>三</t>
  </si>
  <si>
    <t>四</t>
  </si>
  <si>
    <t>五</t>
  </si>
  <si>
    <t>六</t>
  </si>
  <si>
    <t>七</t>
  </si>
  <si>
    <t>八</t>
  </si>
  <si>
    <t>九
=（测算/188.47）</t>
  </si>
  <si>
    <r>
      <rPr>
        <sz val="8"/>
        <rFont val="Times New Roman"/>
        <charset val="134"/>
      </rPr>
      <t>[6]=</t>
    </r>
    <r>
      <rPr>
        <sz val="8"/>
        <rFont val="宋体"/>
        <charset val="134"/>
      </rPr>
      <t>（</t>
    </r>
    <r>
      <rPr>
        <sz val="8"/>
        <rFont val="Times New Roman"/>
        <charset val="134"/>
      </rPr>
      <t>188.45</t>
    </r>
    <r>
      <rPr>
        <sz val="8"/>
        <rFont val="宋体"/>
        <charset val="134"/>
      </rPr>
      <t>）</t>
    </r>
    <r>
      <rPr>
        <sz val="8"/>
        <rFont val="Times New Roman"/>
        <charset val="134"/>
      </rPr>
      <t>*</t>
    </r>
    <r>
      <rPr>
        <sz val="8"/>
        <rFont val="宋体"/>
        <charset val="134"/>
      </rPr>
      <t>（九）</t>
    </r>
  </si>
  <si>
    <r>
      <rPr>
        <sz val="8"/>
        <rFont val="宋体-简"/>
        <charset val="134"/>
      </rPr>
      <t>③</t>
    </r>
    <r>
      <rPr>
        <sz val="8"/>
        <rFont val="Times New Roman"/>
        <charset val="134"/>
      </rPr>
      <t>=(</t>
    </r>
    <r>
      <rPr>
        <sz val="8"/>
        <rFont val="宋体-简"/>
        <charset val="134"/>
      </rPr>
      <t>①</t>
    </r>
    <r>
      <rPr>
        <sz val="8"/>
        <rFont val="Times New Roman"/>
        <charset val="134"/>
      </rPr>
      <t>*0.0400*12+</t>
    </r>
    <r>
      <rPr>
        <sz val="8"/>
        <rFont val="宋体-简"/>
        <charset val="134"/>
      </rPr>
      <t>②</t>
    </r>
    <r>
      <rPr>
        <sz val="8"/>
        <rFont val="Times New Roman"/>
        <charset val="134"/>
      </rPr>
      <t>*0.0010)/410.78</t>
    </r>
  </si>
  <si>
    <r>
      <rPr>
        <sz val="8"/>
        <rFont val="Times New Roman"/>
        <charset val="134"/>
      </rPr>
      <t>[7]=</t>
    </r>
    <r>
      <rPr>
        <sz val="8"/>
        <rFont val="宋体"/>
        <charset val="134"/>
      </rPr>
      <t>（</t>
    </r>
    <r>
      <rPr>
        <sz val="8"/>
        <rFont val="Times New Roman"/>
        <charset val="134"/>
      </rPr>
      <t>373.8</t>
    </r>
    <r>
      <rPr>
        <sz val="8"/>
        <rFont val="宋体"/>
        <charset val="134"/>
      </rPr>
      <t>）</t>
    </r>
    <r>
      <rPr>
        <sz val="8"/>
        <rFont val="Times New Roman"/>
        <charset val="134"/>
      </rPr>
      <t>*</t>
    </r>
    <r>
      <rPr>
        <sz val="8"/>
        <rFont val="宋体"/>
        <charset val="134"/>
      </rPr>
      <t>③</t>
    </r>
  </si>
  <si>
    <r>
      <rPr>
        <sz val="7"/>
        <rFont val="宋体"/>
        <charset val="134"/>
      </rPr>
      <t>市：</t>
    </r>
    <r>
      <rPr>
        <sz val="7"/>
        <rFont val="宋体-简"/>
        <charset val="134"/>
      </rPr>
      <t>⑥</t>
    </r>
    <r>
      <rPr>
        <sz val="7"/>
        <rFont val="Times New Roman"/>
        <charset val="134"/>
      </rPr>
      <t>=</t>
    </r>
    <r>
      <rPr>
        <sz val="7"/>
        <rFont val="宋体"/>
        <charset val="134"/>
      </rPr>
      <t>（</t>
    </r>
    <r>
      <rPr>
        <sz val="7"/>
        <rFont val="宋体-简"/>
        <charset val="134"/>
      </rPr>
      <t>①</t>
    </r>
    <r>
      <rPr>
        <sz val="7"/>
        <rFont val="Times New Roman"/>
        <charset val="134"/>
      </rPr>
      <t>*0.000861+</t>
    </r>
    <r>
      <rPr>
        <sz val="7"/>
        <rFont val="宋体-简"/>
        <charset val="134"/>
      </rPr>
      <t>②</t>
    </r>
    <r>
      <rPr>
        <sz val="7"/>
        <rFont val="Times New Roman"/>
        <charset val="134"/>
      </rPr>
      <t>*0.025+</t>
    </r>
    <r>
      <rPr>
        <sz val="7"/>
        <rFont val="宋体-简"/>
        <charset val="134"/>
      </rPr>
      <t>③</t>
    </r>
    <r>
      <rPr>
        <sz val="7"/>
        <rFont val="Times New Roman"/>
        <charset val="134"/>
      </rPr>
      <t>*0.08*2+</t>
    </r>
    <r>
      <rPr>
        <sz val="7"/>
        <rFont val="宋体"/>
        <charset val="134"/>
      </rPr>
      <t>④</t>
    </r>
    <r>
      <rPr>
        <sz val="7"/>
        <rFont val="Times New Roman"/>
        <charset val="134"/>
      </rPr>
      <t>*1.5+</t>
    </r>
    <r>
      <rPr>
        <sz val="7"/>
        <rFont val="宋体-简"/>
        <charset val="134"/>
      </rPr>
      <t>⑤</t>
    </r>
    <r>
      <rPr>
        <sz val="7"/>
        <rFont val="Times New Roman"/>
        <charset val="134"/>
      </rPr>
      <t>*20</t>
    </r>
    <r>
      <rPr>
        <sz val="7"/>
        <rFont val="宋体"/>
        <charset val="134"/>
      </rPr>
      <t>）</t>
    </r>
    <r>
      <rPr>
        <sz val="7"/>
        <rFont val="Times New Roman"/>
        <charset val="134"/>
      </rPr>
      <t>/1349.5</t>
    </r>
    <r>
      <rPr>
        <sz val="7"/>
        <rFont val="宋体"/>
        <charset val="134"/>
      </rPr>
      <t>；</t>
    </r>
    <r>
      <rPr>
        <sz val="7"/>
        <rFont val="Times New Roman"/>
        <charset val="134"/>
      </rPr>
      <t xml:space="preserve">
</t>
    </r>
    <r>
      <rPr>
        <sz val="7"/>
        <rFont val="宋体"/>
        <charset val="134"/>
      </rPr>
      <t>县：</t>
    </r>
    <r>
      <rPr>
        <sz val="7"/>
        <rFont val="宋体-简"/>
        <charset val="134"/>
      </rPr>
      <t>⑥</t>
    </r>
    <r>
      <rPr>
        <sz val="7"/>
        <rFont val="Times New Roman"/>
        <charset val="134"/>
      </rPr>
      <t>=</t>
    </r>
    <r>
      <rPr>
        <sz val="7"/>
        <rFont val="宋体-简"/>
        <charset val="134"/>
      </rPr>
      <t>①</t>
    </r>
    <r>
      <rPr>
        <sz val="7"/>
        <rFont val="Times New Roman"/>
        <charset val="134"/>
      </rPr>
      <t>*0.000861+</t>
    </r>
    <r>
      <rPr>
        <sz val="7"/>
        <rFont val="宋体-简"/>
        <charset val="134"/>
      </rPr>
      <t>②</t>
    </r>
    <r>
      <rPr>
        <sz val="7"/>
        <rFont val="Times New Roman"/>
        <charset val="134"/>
      </rPr>
      <t>*0.025+</t>
    </r>
    <r>
      <rPr>
        <sz val="7"/>
        <rFont val="宋体-简"/>
        <charset val="134"/>
      </rPr>
      <t>③</t>
    </r>
    <r>
      <rPr>
        <sz val="7"/>
        <rFont val="Times New Roman"/>
        <charset val="134"/>
      </rPr>
      <t>*0.04+</t>
    </r>
    <r>
      <rPr>
        <sz val="7"/>
        <rFont val="宋体"/>
        <charset val="134"/>
      </rPr>
      <t>④</t>
    </r>
    <r>
      <rPr>
        <sz val="7"/>
        <rFont val="Times New Roman"/>
        <charset val="134"/>
      </rPr>
      <t>*1.5+</t>
    </r>
    <r>
      <rPr>
        <sz val="7"/>
        <rFont val="宋体-简"/>
        <charset val="134"/>
      </rPr>
      <t>⑤</t>
    </r>
    <r>
      <rPr>
        <sz val="7"/>
        <rFont val="Times New Roman"/>
        <charset val="134"/>
      </rPr>
      <t>*20/1349.5</t>
    </r>
  </si>
  <si>
    <r>
      <rPr>
        <sz val="8"/>
        <rFont val="Calibri"/>
        <charset val="134"/>
      </rPr>
      <t>[8]=</t>
    </r>
    <r>
      <rPr>
        <sz val="8"/>
        <rFont val="宋体"/>
        <charset val="134"/>
      </rPr>
      <t>（</t>
    </r>
    <r>
      <rPr>
        <sz val="8"/>
        <rFont val="Calibri"/>
        <charset val="134"/>
      </rPr>
      <t>1349.5</t>
    </r>
    <r>
      <rPr>
        <sz val="8"/>
        <rFont val="宋体"/>
        <charset val="134"/>
      </rPr>
      <t>）</t>
    </r>
    <r>
      <rPr>
        <sz val="8"/>
        <rFont val="Calibri"/>
        <charset val="134"/>
      </rPr>
      <t>*</t>
    </r>
    <r>
      <rPr>
        <sz val="8"/>
        <rFont val="宋体"/>
        <charset val="134"/>
      </rPr>
      <t>⑥</t>
    </r>
  </si>
  <si>
    <t>市：⑧=（①*13+1.5+②*1.6+③*6+④*1+⑤*6.2+⑥*15+1+⑦*3）/786；
县：⑧=（①*13+②*3+③*6+④*1.2+⑤*6.2+⑥*15+⑦*3）/786</t>
  </si>
  <si>
    <r>
      <rPr>
        <sz val="8"/>
        <rFont val="Times New Roman"/>
        <charset val="134"/>
      </rPr>
      <t>[9-1]=</t>
    </r>
    <r>
      <rPr>
        <sz val="8"/>
        <rFont val="宋体"/>
        <charset val="134"/>
      </rPr>
      <t>（</t>
    </r>
    <r>
      <rPr>
        <sz val="8"/>
        <rFont val="Times New Roman"/>
        <charset val="134"/>
      </rPr>
      <t>786</t>
    </r>
    <r>
      <rPr>
        <sz val="8"/>
        <rFont val="宋体"/>
        <charset val="134"/>
      </rPr>
      <t>）</t>
    </r>
    <r>
      <rPr>
        <sz val="8"/>
        <rFont val="Times New Roman"/>
        <charset val="134"/>
      </rPr>
      <t>*</t>
    </r>
    <r>
      <rPr>
        <sz val="8"/>
        <rFont val="宋体"/>
        <charset val="134"/>
      </rPr>
      <t>⑧</t>
    </r>
  </si>
  <si>
    <r>
      <rPr>
        <sz val="8"/>
        <rFont val="宋体"/>
        <charset val="134"/>
      </rPr>
      <t>③</t>
    </r>
    <r>
      <rPr>
        <sz val="8"/>
        <rFont val="Times New Roman"/>
        <charset val="134"/>
      </rPr>
      <t>=</t>
    </r>
    <r>
      <rPr>
        <sz val="8"/>
        <rFont val="宋体"/>
        <charset val="134"/>
      </rPr>
      <t>（①</t>
    </r>
    <r>
      <rPr>
        <sz val="8"/>
        <rFont val="Times New Roman"/>
        <charset val="134"/>
      </rPr>
      <t>/∑</t>
    </r>
    <r>
      <rPr>
        <sz val="8"/>
        <rFont val="宋体"/>
        <charset val="134"/>
      </rPr>
      <t>①</t>
    </r>
    <r>
      <rPr>
        <sz val="8"/>
        <rFont val="Times New Roman"/>
        <charset val="134"/>
      </rPr>
      <t>*0.0035+</t>
    </r>
    <r>
      <rPr>
        <sz val="8"/>
        <rFont val="宋体"/>
        <charset val="134"/>
      </rPr>
      <t>②</t>
    </r>
    <r>
      <rPr>
        <sz val="8"/>
        <rFont val="Times New Roman"/>
        <charset val="134"/>
      </rPr>
      <t>/∑</t>
    </r>
    <r>
      <rPr>
        <sz val="8"/>
        <rFont val="宋体"/>
        <charset val="134"/>
      </rPr>
      <t>②</t>
    </r>
    <r>
      <rPr>
        <sz val="8"/>
        <rFont val="Times New Roman"/>
        <charset val="134"/>
      </rPr>
      <t>*0.003</t>
    </r>
    <r>
      <rPr>
        <sz val="8"/>
        <rFont val="宋体"/>
        <charset val="134"/>
      </rPr>
      <t>）</t>
    </r>
    <r>
      <rPr>
        <sz val="8"/>
        <rFont val="Times New Roman"/>
        <charset val="134"/>
      </rPr>
      <t>/148</t>
    </r>
  </si>
  <si>
    <r>
      <rPr>
        <sz val="8"/>
        <rFont val="Times New Roman"/>
        <charset val="134"/>
      </rPr>
      <t>[9-2]=</t>
    </r>
    <r>
      <rPr>
        <sz val="8"/>
        <rFont val="宋体"/>
        <charset val="134"/>
      </rPr>
      <t>（</t>
    </r>
    <r>
      <rPr>
        <sz val="8"/>
        <rFont val="Times New Roman"/>
        <charset val="134"/>
      </rPr>
      <t>125</t>
    </r>
    <r>
      <rPr>
        <sz val="8"/>
        <rFont val="宋体"/>
        <charset val="134"/>
      </rPr>
      <t>）</t>
    </r>
    <r>
      <rPr>
        <sz val="8"/>
        <rFont val="Times New Roman"/>
        <charset val="134"/>
      </rPr>
      <t>*</t>
    </r>
    <r>
      <rPr>
        <sz val="8"/>
        <rFont val="宋体"/>
        <charset val="134"/>
      </rPr>
      <t>④</t>
    </r>
  </si>
  <si>
    <t>[9-3]</t>
  </si>
  <si>
    <r>
      <rPr>
        <sz val="8"/>
        <rFont val="Times New Roman"/>
        <charset val="134"/>
      </rPr>
      <t xml:space="preserve">[9]=[9-1]+[9-2]+[9-3]
</t>
    </r>
    <r>
      <rPr>
        <sz val="8"/>
        <rFont val="宋体"/>
        <charset val="134"/>
      </rPr>
      <t>广州：</t>
    </r>
    <r>
      <rPr>
        <sz val="8"/>
        <rFont val="Times New Roman"/>
        <charset val="134"/>
      </rPr>
      <t>[9]=[9-1]+[9-2]+[9-3]+30</t>
    </r>
  </si>
  <si>
    <t>②=①/∑①</t>
  </si>
  <si>
    <r>
      <rPr>
        <sz val="8"/>
        <rFont val="宋体"/>
        <charset val="134"/>
      </rPr>
      <t>[10]</t>
    </r>
    <r>
      <rPr>
        <sz val="8"/>
        <rFont val="Times New Roman"/>
        <charset val="134"/>
      </rPr>
      <t>=</t>
    </r>
    <r>
      <rPr>
        <sz val="8"/>
        <rFont val="宋体"/>
        <charset val="134"/>
      </rPr>
      <t>（</t>
    </r>
    <r>
      <rPr>
        <sz val="8"/>
        <rFont val="Times New Roman"/>
        <charset val="134"/>
      </rPr>
      <t>631</t>
    </r>
    <r>
      <rPr>
        <sz val="8"/>
        <rFont val="宋体"/>
        <charset val="134"/>
      </rPr>
      <t>）</t>
    </r>
    <r>
      <rPr>
        <sz val="8"/>
        <rFont val="Times New Roman"/>
        <charset val="134"/>
      </rPr>
      <t>*</t>
    </r>
    <r>
      <rPr>
        <sz val="8"/>
        <rFont val="宋体"/>
        <charset val="134"/>
      </rPr>
      <t>②</t>
    </r>
  </si>
  <si>
    <t>④=①/∑①*0.80+②/∑②*0.04+③/∑③*0.16</t>
  </si>
  <si>
    <r>
      <rPr>
        <sz val="8"/>
        <rFont val="宋体"/>
        <charset val="134"/>
      </rPr>
      <t>[11]</t>
    </r>
    <r>
      <rPr>
        <sz val="8"/>
        <rFont val="Times New Roman"/>
        <charset val="134"/>
      </rPr>
      <t>=</t>
    </r>
    <r>
      <rPr>
        <sz val="8"/>
        <rFont val="宋体"/>
        <charset val="134"/>
      </rPr>
      <t>（95.48）</t>
    </r>
    <r>
      <rPr>
        <sz val="8"/>
        <rFont val="Times New Roman"/>
        <charset val="134"/>
      </rPr>
      <t>*</t>
    </r>
    <r>
      <rPr>
        <sz val="8"/>
        <rFont val="宋体"/>
        <charset val="134"/>
      </rPr>
      <t>④</t>
    </r>
  </si>
  <si>
    <r>
      <rPr>
        <sz val="8"/>
        <rFont val="Calibri"/>
        <charset val="134"/>
      </rPr>
      <t>[12]</t>
    </r>
    <r>
      <rPr>
        <sz val="8"/>
        <rFont val="Times New Roman"/>
        <charset val="134"/>
      </rPr>
      <t>=</t>
    </r>
    <r>
      <rPr>
        <sz val="8"/>
        <rFont val="宋体"/>
        <charset val="134"/>
      </rPr>
      <t>（</t>
    </r>
    <r>
      <rPr>
        <sz val="8"/>
        <rFont val="宋体-简"/>
        <charset val="134"/>
      </rPr>
      <t>①</t>
    </r>
    <r>
      <rPr>
        <sz val="8"/>
        <rFont val="Times New Roman"/>
        <charset val="134"/>
      </rPr>
      <t>*</t>
    </r>
    <r>
      <rPr>
        <sz val="8"/>
        <rFont val="宋体-简"/>
        <charset val="134"/>
      </rPr>
      <t>②</t>
    </r>
    <r>
      <rPr>
        <sz val="8"/>
        <rFont val="宋体"/>
        <charset val="134"/>
      </rPr>
      <t>）*</t>
    </r>
    <r>
      <rPr>
        <sz val="8"/>
        <rFont val="Times New Roman"/>
        <charset val="134"/>
      </rPr>
      <t>21</t>
    </r>
  </si>
  <si>
    <t>[13]</t>
  </si>
  <si>
    <t>[14]     50</t>
  </si>
  <si>
    <r>
      <rPr>
        <sz val="8"/>
        <rFont val="宋体"/>
        <charset val="134"/>
      </rPr>
      <t>合计</t>
    </r>
    <r>
      <rPr>
        <sz val="8"/>
        <rFont val="Times New Roman"/>
        <charset val="134"/>
      </rPr>
      <t>=[1]+[2]+[3]+[4]+[5]+[6]+[7]+[8]+[9]+[10]+[11]+[12]+[13]+[14]</t>
    </r>
  </si>
  <si>
    <t>地级以上市小计</t>
  </si>
  <si>
    <t>0</t>
  </si>
  <si>
    <t>江门市小计（含市本级、台山、开平、恩平）</t>
  </si>
  <si>
    <t>其中：市本级</t>
  </si>
  <si>
    <t>台山市</t>
  </si>
  <si>
    <t>开平市</t>
  </si>
  <si>
    <t>恩平市</t>
  </si>
  <si>
    <t>财政省直管县小计</t>
  </si>
  <si>
    <t>乳源县</t>
  </si>
  <si>
    <t>连山县</t>
  </si>
  <si>
    <t>连南县</t>
  </si>
  <si>
    <t>备注：
1.珠三角地区除承担省级任务的，不安排补助资金；江门市台山市、开平市、恩平市为经济欠发达地区，按70%、70%、100%比例安排补助资金；
2.重点急性传染病防治项目：哨点监测和实验室检验任务属于省级专项任务，珠三角6地市开展的重点急性传染病任务是根据其的地理位置、经济、人口区域发展情况制定的，相关监测经费主要用于保障开展哨点监测采集工作、地市级实验室检验工作所需，补助标准为哨点监测0.0027万元/份、实验室检验0.055万元/份，按50%比例补助珠三角6地市；
3.寄生虫病防治项目：省级重点寄生虫病监测点属于省级专项任务，其中恩平为省级重点寄生虫病监测点，按照5万元补助工作经费；
4.慢性病综合防治项目：伤害干预试点（广州佛山有试点）和重点慢性病综合干预试点（珠海中山有试点）为省级专项任务，相关经费分别安排6万元/点用于在社区推广并实施老年人跌倒干预活动工作和安排6.2万元/点在社区开展提高高同型半胱氨酸高血压（H型高血压）患者依从性预防脑卒中的干预工作；基层医疗机构高血压糖尿病规范（示范）区建设
5.慢性病防治项目广州市预算金额含广州医科大学附属第一医院健康广东呼吸防治项目预算30万元，支出内容包括培训费、宣传费、材料费、出版费、劳务费、差旅费等。
6.慢性病防治项目基层医疗机构高血压糖尿病规范（示范）区建设，广州市越秀区白云街社区卫生服务中心、海珠区沙园街社区卫生服务中心、番禺区东环街社区卫生服务中心、增城区石滩镇中心卫生院，珠海市金湾区三灶镇卫生院，东莞市塘厦镇社区卫生服务中心、麻涌镇社区卫生服务中心等7家单位各5万元工作经费。
7.学生常见病监测近视筛查省级监测试点、全国儿童青少年近视防控适宜技术试点为省级专项任务，一是近视筛查按要求需覆盖全省所有县区，原已有国家监测点，需设置省级监测点，因此珠三角6地市需在国家监测点基础上，保证24个省级监测点的设置，省级监测点按照0.92万元/点标准补助，用于儿童青少年视力监测；二是儿童青少年近视防控适宜技术在珠三角6地市试点有4个，分别为：广州增城、佛山高明、东莞茶山、江门新会，按照0.42万元/点标准补助，用于指导学校开展近视干预；
8.公共卫生骨干人才培训实践基地为省级专项任务，其中广州、珠海、佛山、东莞、中山有设基地，按3万元/点补助用于学员实践培训工作;
9.性病防治项目：按照《广东省卫生健康委关于印发广东省防治生殖道衣原体感染试点项目（2022-2025 年）方案的通知》（粤卫疾控函〔2022〕27号）文件要求，在珠海市香洲区等地开展广东省防治生殖道衣原体感染试点项目工作，项目旨在遏制我省生殖道衣原体感染流行及其造成的不良健康影响，探索我省以育龄女性为主的重点人群衣原体感染综合防治有效模式。由于该项目重要，且需要较大金额资金开展，保留珠海市香洲区10万元项目补助经费。
10.应急处置-鼠疫项目：疫源地监测点（国家监测点廉江市，省固定监测点麻章区、雷州市、遂溪县）,活体鼠检测全年不少于1000只,国家监测点补助9万元/监测点，固定监测点7万元/监测点；其它流动监测点（珠海、东莞、汕尾（陆丰）、清远（佛岗））补助3万元/监测点；</t>
  </si>
  <si>
    <r>
      <rPr>
        <sz val="12"/>
        <rFont val="黑体"/>
        <charset val="134"/>
      </rPr>
      <t>附件</t>
    </r>
    <r>
      <rPr>
        <sz val="12"/>
        <rFont val="Times New Roman"/>
        <charset val="134"/>
      </rPr>
      <t>4</t>
    </r>
  </si>
  <si>
    <t>疫病防控项目绩效目标申报表</t>
  </si>
  <si>
    <t>金额单位：元</t>
  </si>
  <si>
    <t>项目类型</t>
  </si>
  <si>
    <t>专项资金</t>
  </si>
  <si>
    <r>
      <rPr>
        <sz val="12"/>
        <rFont val="宋体"/>
        <charset val="134"/>
      </rPr>
      <t>一级项目</t>
    </r>
    <r>
      <rPr>
        <sz val="12"/>
        <rFont val="Times New Roman"/>
        <charset val="134"/>
      </rPr>
      <t xml:space="preserve">
</t>
    </r>
    <r>
      <rPr>
        <sz val="12"/>
        <rFont val="宋体"/>
        <charset val="134"/>
      </rPr>
      <t>编码</t>
    </r>
  </si>
  <si>
    <t>174-2018-XMZC-0001-04</t>
  </si>
  <si>
    <t>一级项目名称</t>
  </si>
  <si>
    <t>疫病防控</t>
  </si>
  <si>
    <t>申报单位</t>
  </si>
  <si>
    <t>广东省卫生健康委员会</t>
  </si>
  <si>
    <r>
      <rPr>
        <sz val="12"/>
        <rFont val="宋体"/>
        <charset val="134"/>
      </rPr>
      <t>省财政厅</t>
    </r>
    <r>
      <rPr>
        <sz val="12"/>
        <rFont val="Times New Roman"/>
        <charset val="134"/>
      </rPr>
      <t xml:space="preserve">
</t>
    </r>
    <r>
      <rPr>
        <sz val="12"/>
        <rFont val="宋体"/>
        <charset val="134"/>
      </rPr>
      <t>对口处室</t>
    </r>
  </si>
  <si>
    <t>社保处</t>
  </si>
  <si>
    <t>战略领域</t>
  </si>
  <si>
    <t>医疗卫生健康事业发展专项资金</t>
  </si>
  <si>
    <t>财政事权</t>
  </si>
  <si>
    <t>疾病预防控制</t>
  </si>
  <si>
    <t>政策任务</t>
  </si>
  <si>
    <t>设立依据</t>
  </si>
  <si>
    <r>
      <rPr>
        <sz val="12"/>
        <rFont val="宋体"/>
        <charset val="134"/>
      </rPr>
      <t>《广东省人民政府办公厅关于印发广东省医疗卫生领域省级与市县财政事权和支出责任划分改革实施方案的通知》（粤府办〔</t>
    </r>
    <r>
      <rPr>
        <sz val="12"/>
        <rFont val="Times New Roman"/>
        <charset val="134"/>
      </rPr>
      <t>2019</t>
    </r>
    <r>
      <rPr>
        <sz val="12"/>
        <rFont val="宋体"/>
        <charset val="134"/>
      </rPr>
      <t>〕</t>
    </r>
    <r>
      <rPr>
        <sz val="12"/>
        <rFont val="Times New Roman"/>
        <charset val="134"/>
      </rPr>
      <t>5</t>
    </r>
    <r>
      <rPr>
        <sz val="12"/>
        <rFont val="宋体"/>
        <charset val="134"/>
      </rPr>
      <t>号）</t>
    </r>
  </si>
  <si>
    <t>资金管理办法文号</t>
  </si>
  <si>
    <r>
      <rPr>
        <sz val="12"/>
        <rFont val="宋体"/>
        <charset val="134"/>
      </rPr>
      <t>粤财社</t>
    </r>
    <r>
      <rPr>
        <sz val="12"/>
        <rFont val="仿宋_GB2312"/>
        <charset val="134"/>
      </rPr>
      <t>〔</t>
    </r>
    <r>
      <rPr>
        <sz val="12"/>
        <rFont val="Times New Roman"/>
        <charset val="134"/>
      </rPr>
      <t>2019</t>
    </r>
    <r>
      <rPr>
        <sz val="12"/>
        <rFont val="仿宋_GB2312"/>
        <charset val="134"/>
      </rPr>
      <t>〕</t>
    </r>
    <r>
      <rPr>
        <sz val="12"/>
        <rFont val="Times New Roman"/>
        <charset val="134"/>
      </rPr>
      <t>74</t>
    </r>
    <r>
      <rPr>
        <sz val="12"/>
        <rFont val="宋体"/>
        <charset val="134"/>
      </rPr>
      <t>号</t>
    </r>
  </si>
  <si>
    <r>
      <rPr>
        <sz val="12"/>
        <rFont val="宋体"/>
        <charset val="134"/>
      </rPr>
      <t>政策起始</t>
    </r>
    <r>
      <rPr>
        <sz val="12"/>
        <rFont val="Times New Roman"/>
        <charset val="134"/>
      </rPr>
      <t xml:space="preserve">
</t>
    </r>
    <r>
      <rPr>
        <sz val="12"/>
        <rFont val="宋体"/>
        <charset val="134"/>
      </rPr>
      <t>时间</t>
    </r>
  </si>
  <si>
    <r>
      <rPr>
        <sz val="12"/>
        <rFont val="Times New Roman"/>
        <charset val="134"/>
      </rPr>
      <t>2023</t>
    </r>
    <r>
      <rPr>
        <sz val="12"/>
        <rFont val="宋体"/>
        <charset val="134"/>
      </rPr>
      <t>年</t>
    </r>
  </si>
  <si>
    <r>
      <rPr>
        <sz val="12"/>
        <rFont val="宋体"/>
        <charset val="134"/>
      </rPr>
      <t>政策到期</t>
    </r>
    <r>
      <rPr>
        <sz val="12"/>
        <rFont val="Times New Roman"/>
        <charset val="134"/>
      </rPr>
      <t xml:space="preserve">
</t>
    </r>
    <r>
      <rPr>
        <sz val="12"/>
        <rFont val="宋体"/>
        <charset val="134"/>
      </rPr>
      <t>时间</t>
    </r>
  </si>
  <si>
    <r>
      <rPr>
        <sz val="12"/>
        <rFont val="Times New Roman"/>
        <charset val="134"/>
      </rPr>
      <t>2025</t>
    </r>
    <r>
      <rPr>
        <sz val="12"/>
        <rFont val="宋体"/>
        <charset val="134"/>
      </rPr>
      <t>年</t>
    </r>
  </si>
  <si>
    <t>申报责任人</t>
  </si>
  <si>
    <t>麻尚春</t>
  </si>
  <si>
    <t>联系电话</t>
  </si>
  <si>
    <t>所属预算年度</t>
  </si>
  <si>
    <t>设立政策背景及原因</t>
  </si>
  <si>
    <t>我省是人口经济大省，毗邻港澳，流动人口众多、地理环境复杂、气候炎热，加上对外交流频繁，各种病毒、细菌容易孳生繁殖，疾病传播流行风险较大。2003年发生非典以来，全国新发传染病中有80%以上首先或较早报告于广东。我省是病毒性肝炎、艾滋病、结核病发病大省，艾滋病等重大传染病疫情较为严重。近年以来人口老龄化、慢性疾病负担加重，心脑血管疾病、恶性肿瘤、慢性呼吸道疾病居我省死因前4位。全省严重精神障碍患者人群数量大，肇事肇祸事件时有发生。此外，环境污染、职业病等多种危害因素所致的健康损害风险日益加剧，全省重大疾病防控工作形势严峻，防控任务艰巨、繁重。 为贯彻落实《传染病防治法》《职业病防治法》《精神卫生法》《中华人民共和国疫苗管理法》《疫苗储存和运输管理办法（2017年版）》《预防接种工作规范（2016版）》《学校卫生工作条例》《食盐加碘消除碘缺乏危害管理条例》《艾滋病防治条例》《血吸虫病防治条例》《生活饮用水卫生监督管理办法》《性病防治管理办法》《结核病防治管理办法》《监管场所艾滋病防治管理办法》等法律法规，以及《广东省国民经济和社会发展第十四个五年规划和2035年远景目标纲要》《健康广东行动（2019-2030年）》《“十四五”国民健康规划》《广东省卫生健康事业发展“十四五”规划》和国家、省制发的系列疾病防治规划行动计划等政策文件，切实加强我省公共卫生和重大疾病防治，如期完成健康中国战略和健康广东行动疾控相关行动任务目标，提升我省疾病防控整体能力水平，保障经济社会平稳发展，特申请延续省级疫病防控专项并申请有关项目资金。</t>
  </si>
  <si>
    <t>项目金额</t>
  </si>
  <si>
    <t>总额</t>
  </si>
  <si>
    <r>
      <rPr>
        <sz val="12"/>
        <rFont val="宋体"/>
        <charset val="134"/>
      </rPr>
      <t>当年度（</t>
    </r>
    <r>
      <rPr>
        <sz val="12"/>
        <rFont val="Times New Roman"/>
        <charset val="134"/>
      </rPr>
      <t>2023</t>
    </r>
    <r>
      <rPr>
        <sz val="12"/>
        <rFont val="宋体"/>
        <charset val="134"/>
      </rPr>
      <t>年）</t>
    </r>
  </si>
  <si>
    <r>
      <rPr>
        <sz val="12"/>
        <rFont val="宋体"/>
        <charset val="134"/>
      </rPr>
      <t>绩效</t>
    </r>
    <r>
      <rPr>
        <sz val="12"/>
        <rFont val="Times New Roman"/>
        <charset val="134"/>
      </rPr>
      <t xml:space="preserve">
</t>
    </r>
    <r>
      <rPr>
        <sz val="12"/>
        <rFont val="宋体"/>
        <charset val="134"/>
      </rPr>
      <t>目标</t>
    </r>
  </si>
  <si>
    <t>总体目标（跨年度项目需填写）</t>
  </si>
  <si>
    <t>当年度目标</t>
  </si>
  <si>
    <t>进一步提高我省免疫规划，艾滋病、重点急性传染病、慢性病、精神卫生、地方病、寄生虫病等防治能力等工作能力，提升我省重大疾病和健康危险因素监测、预警预测及干预水平，降低重大疾病发病率，确保传染病疫情总体平稳，保护人民群众生命健康安全。</t>
  </si>
  <si>
    <r>
      <rPr>
        <sz val="12"/>
        <rFont val="宋体"/>
        <charset val="134"/>
      </rPr>
      <t>全省传染病疫情总体稳定，重大疾病得到有效防控。艾滋病感染者</t>
    </r>
    <r>
      <rPr>
        <sz val="12"/>
        <rFont val="Times New Roman"/>
        <charset val="134"/>
      </rPr>
      <t>/</t>
    </r>
    <r>
      <rPr>
        <sz val="12"/>
        <rFont val="宋体"/>
        <charset val="134"/>
      </rPr>
      <t>病人随访检测比例≥</t>
    </r>
    <r>
      <rPr>
        <sz val="12"/>
        <rFont val="Times New Roman"/>
        <charset val="134"/>
      </rPr>
      <t>90%</t>
    </r>
    <r>
      <rPr>
        <sz val="12"/>
        <rFont val="宋体"/>
        <charset val="134"/>
      </rPr>
      <t>，重点急性传染病监测任务完成率≥</t>
    </r>
    <r>
      <rPr>
        <sz val="12"/>
        <rFont val="Times New Roman"/>
        <charset val="134"/>
      </rPr>
      <t>85%</t>
    </r>
    <r>
      <rPr>
        <sz val="12"/>
        <rFont val="宋体"/>
        <charset val="134"/>
      </rPr>
      <t>，国家免疫规划疫苗接种率≥</t>
    </r>
    <r>
      <rPr>
        <sz val="12"/>
        <rFont val="Times New Roman"/>
        <charset val="134"/>
      </rPr>
      <t>90%</t>
    </r>
    <r>
      <rPr>
        <sz val="12"/>
        <rFont val="宋体"/>
        <charset val="134"/>
      </rPr>
      <t>，在册严重精神障碍患者管理率≥</t>
    </r>
    <r>
      <rPr>
        <sz val="12"/>
        <rFont val="Times New Roman"/>
        <charset val="134"/>
      </rPr>
      <t>80%</t>
    </r>
    <r>
      <rPr>
        <sz val="12"/>
        <rFont val="宋体"/>
        <charset val="134"/>
      </rPr>
      <t>，病原学阳性肺结核患者耐药筛查率≥</t>
    </r>
    <r>
      <rPr>
        <sz val="12"/>
        <rFont val="Times New Roman"/>
        <charset val="134"/>
      </rPr>
      <t>70%</t>
    </r>
    <r>
      <rPr>
        <sz val="12"/>
        <rFont val="宋体"/>
        <charset val="134"/>
      </rPr>
      <t>。</t>
    </r>
  </si>
  <si>
    <t>绩效指标</t>
  </si>
  <si>
    <r>
      <rPr>
        <sz val="12"/>
        <rFont val="宋体"/>
        <charset val="134"/>
      </rPr>
      <t>一级</t>
    </r>
    <r>
      <rPr>
        <sz val="12"/>
        <rFont val="Times New Roman"/>
        <charset val="134"/>
      </rPr>
      <t xml:space="preserve">
</t>
    </r>
    <r>
      <rPr>
        <sz val="12"/>
        <rFont val="宋体"/>
        <charset val="134"/>
      </rPr>
      <t>指标</t>
    </r>
  </si>
  <si>
    <t>二级指标</t>
  </si>
  <si>
    <t>三级指标</t>
  </si>
  <si>
    <t>年度目标值</t>
  </si>
  <si>
    <t>指标解释及计算公式</t>
  </si>
  <si>
    <t>备注</t>
  </si>
  <si>
    <t>产出指标</t>
  </si>
  <si>
    <t>数量指标</t>
  </si>
  <si>
    <r>
      <rPr>
        <sz val="12"/>
        <rFont val="宋体"/>
        <charset val="134"/>
      </rPr>
      <t>艾滋病感染者</t>
    </r>
    <r>
      <rPr>
        <sz val="12"/>
        <rFont val="Times New Roman"/>
        <charset val="134"/>
      </rPr>
      <t>/</t>
    </r>
    <r>
      <rPr>
        <sz val="12"/>
        <rFont val="宋体"/>
        <charset val="134"/>
      </rPr>
      <t>病人随访人数（人）</t>
    </r>
  </si>
  <si>
    <r>
      <rPr>
        <sz val="12"/>
        <rFont val="宋体"/>
        <charset val="134"/>
      </rPr>
      <t>当年</t>
    </r>
    <r>
      <rPr>
        <sz val="12"/>
        <rFont val="Times New Roman"/>
        <charset val="134"/>
      </rPr>
      <t>1</t>
    </r>
    <r>
      <rPr>
        <sz val="12"/>
        <rFont val="宋体"/>
        <charset val="134"/>
      </rPr>
      <t>月</t>
    </r>
    <r>
      <rPr>
        <sz val="12"/>
        <rFont val="Times New Roman"/>
        <charset val="134"/>
      </rPr>
      <t>1</t>
    </r>
    <r>
      <rPr>
        <sz val="12"/>
        <rFont val="宋体"/>
        <charset val="134"/>
      </rPr>
      <t>日至</t>
    </r>
    <r>
      <rPr>
        <sz val="12"/>
        <rFont val="Times New Roman"/>
        <charset val="134"/>
      </rPr>
      <t>12</t>
    </r>
    <r>
      <rPr>
        <sz val="12"/>
        <rFont val="宋体"/>
        <charset val="134"/>
      </rPr>
      <t>月</t>
    </r>
    <r>
      <rPr>
        <sz val="12"/>
        <rFont val="Times New Roman"/>
        <charset val="134"/>
      </rPr>
      <t>31</t>
    </r>
    <r>
      <rPr>
        <sz val="12"/>
        <rFont val="宋体"/>
        <charset val="134"/>
      </rPr>
      <t>日，实际随访到的存活的艾滋病病毒感染者及艾滋病病人人数（疫情数据库中有随访表中随访状态为随访的存活的艾滋病病毒感染者及艾滋病病人的人数。）</t>
    </r>
  </si>
  <si>
    <t>重点急性传染病防治项目监测哨点采集任务量（份）</t>
  </si>
  <si>
    <r>
      <rPr>
        <sz val="12"/>
        <rFont val="宋体"/>
        <charset val="134"/>
      </rPr>
      <t>根据省级下发的实施方案开展哨点监测工作，</t>
    </r>
    <r>
      <rPr>
        <sz val="12"/>
        <rFont val="Times New Roman"/>
        <charset val="134"/>
      </rPr>
      <t>2023</t>
    </r>
    <r>
      <rPr>
        <sz val="12"/>
        <rFont val="宋体"/>
        <charset val="134"/>
      </rPr>
      <t>年计划监测哨点完成采集总任务量不低于</t>
    </r>
    <r>
      <rPr>
        <sz val="12"/>
        <rFont val="Times New Roman"/>
        <charset val="134"/>
      </rPr>
      <t>91749</t>
    </r>
    <r>
      <rPr>
        <sz val="12"/>
        <rFont val="宋体"/>
        <charset val="134"/>
      </rPr>
      <t>份，即不小于采集总任务量要求的</t>
    </r>
    <r>
      <rPr>
        <sz val="12"/>
        <rFont val="Times New Roman"/>
        <charset val="134"/>
      </rPr>
      <t>85%</t>
    </r>
    <r>
      <rPr>
        <sz val="12"/>
        <rFont val="宋体"/>
        <charset val="134"/>
      </rPr>
      <t>。</t>
    </r>
  </si>
  <si>
    <t>在册严重精神障碍患者管理人数（人）</t>
  </si>
  <si>
    <r>
      <rPr>
        <sz val="12"/>
        <rFont val="Times New Roman"/>
        <charset val="134"/>
      </rPr>
      <t>2021</t>
    </r>
    <r>
      <rPr>
        <sz val="12"/>
        <rFont val="宋体"/>
        <charset val="134"/>
      </rPr>
      <t>年全年的管理人数：</t>
    </r>
    <r>
      <rPr>
        <sz val="12"/>
        <rFont val="Times New Roman"/>
        <charset val="134"/>
      </rPr>
      <t>555037</t>
    </r>
    <r>
      <rPr>
        <sz val="12"/>
        <rFont val="宋体"/>
        <charset val="134"/>
      </rPr>
      <t>，至少有一条完整随访信息（至少有一条未失访或死亡随访信息）的患者人数</t>
    </r>
  </si>
  <si>
    <t>肺结核患者登记数（例）</t>
  </si>
  <si>
    <t>当年结核病定点医疗机构登记的肺结核患者数，评价各级结核病防治机构的肺结核发现及管理水平；数据来源：结核病信息管理系统常规监测。</t>
  </si>
  <si>
    <t>全省非珠三角地区慢性病综合防控示范区动态管理数量（个）</t>
  </si>
  <si>
    <t>通过示范区信息管理系统统计，我省非珠三角地区按照新示范区指标体系开展示范区建设工作，并按年度上报动态管理资料的慢性病综合防控示范区数量。</t>
  </si>
  <si>
    <t>建议删除该绩效指标，替换为“慢性病综合防控示范区建设管理率（%）”</t>
  </si>
  <si>
    <t>对全省职业健康检查机构进行质控检查（家）</t>
  </si>
  <si>
    <t>质量指标</t>
  </si>
  <si>
    <r>
      <rPr>
        <sz val="12"/>
        <rFont val="宋体"/>
        <charset val="134"/>
      </rPr>
      <t>国家免疫规划疫苗接种率（</t>
    </r>
    <r>
      <rPr>
        <sz val="12"/>
        <rFont val="Times New Roman"/>
        <charset val="134"/>
      </rPr>
      <t>%</t>
    </r>
    <r>
      <rPr>
        <sz val="12"/>
        <rFont val="宋体"/>
        <charset val="134"/>
      </rPr>
      <t>）</t>
    </r>
  </si>
  <si>
    <t>按照国家基本公共卫生服务规范要求，提供国家免疫规划疫苗接种服务。包括所有免疫规划疫苗的接种率。国家免疫规划疫苗接种率（%）=国家免疫规划疫苗实种人数/国家免疫规划疫苗应种人数*100%</t>
  </si>
  <si>
    <r>
      <rPr>
        <sz val="12"/>
        <rFont val="宋体"/>
        <charset val="134"/>
      </rPr>
      <t>艾滋病感染者</t>
    </r>
    <r>
      <rPr>
        <sz val="12"/>
        <rFont val="Times New Roman"/>
        <charset val="134"/>
      </rPr>
      <t>/</t>
    </r>
    <r>
      <rPr>
        <sz val="12"/>
        <rFont val="宋体"/>
        <charset val="134"/>
      </rPr>
      <t>病人随访检测比例（</t>
    </r>
    <r>
      <rPr>
        <sz val="12"/>
        <rFont val="Times New Roman"/>
        <charset val="134"/>
      </rPr>
      <t>%</t>
    </r>
    <r>
      <rPr>
        <sz val="12"/>
        <rFont val="宋体"/>
        <charset val="134"/>
      </rPr>
      <t>）</t>
    </r>
  </si>
  <si>
    <r>
      <rPr>
        <sz val="12"/>
        <rFont val="宋体"/>
        <charset val="134"/>
      </rPr>
      <t>当年可以随访到的艾滋病感染者或病人中完成至少一次</t>
    </r>
    <r>
      <rPr>
        <sz val="12"/>
        <rFont val="Times New Roman"/>
        <charset val="134"/>
      </rPr>
      <t>CD4</t>
    </r>
    <r>
      <rPr>
        <sz val="12"/>
        <rFont val="宋体"/>
        <charset val="134"/>
      </rPr>
      <t>检测的人数比例</t>
    </r>
  </si>
  <si>
    <r>
      <rPr>
        <sz val="12"/>
        <rFont val="宋体"/>
        <charset val="134"/>
      </rPr>
      <t>麻风病可疑线索报告率（</t>
    </r>
    <r>
      <rPr>
        <sz val="12"/>
        <rFont val="Times New Roman"/>
        <charset val="134"/>
      </rPr>
      <t>%</t>
    </r>
    <r>
      <rPr>
        <sz val="12"/>
        <rFont val="宋体"/>
        <charset val="134"/>
      </rPr>
      <t>）</t>
    </r>
  </si>
  <si>
    <t>年度实际上报可疑症状病例数占下达可疑症状任务总数的百分比</t>
  </si>
  <si>
    <r>
      <rPr>
        <sz val="12"/>
        <rFont val="宋体"/>
        <charset val="134"/>
      </rPr>
      <t>病原学阳性肺结核患者耐药筛查率（</t>
    </r>
    <r>
      <rPr>
        <sz val="12"/>
        <rFont val="Times New Roman"/>
        <charset val="134"/>
      </rPr>
      <t>%</t>
    </r>
    <r>
      <rPr>
        <sz val="12"/>
        <rFont val="宋体"/>
        <charset val="134"/>
      </rPr>
      <t>）</t>
    </r>
  </si>
  <si>
    <r>
      <rPr>
        <sz val="12"/>
        <rFont val="宋体"/>
        <charset val="134"/>
      </rPr>
      <t>指在一定期间内，某一地区，登记的病原学阳性患者开展耐药检测的比例。即开展耐药检测的病原学阳性患者数</t>
    </r>
    <r>
      <rPr>
        <sz val="12"/>
        <rFont val="Times New Roman"/>
        <charset val="134"/>
      </rPr>
      <t>/</t>
    </r>
    <r>
      <rPr>
        <sz val="12"/>
        <rFont val="宋体"/>
        <charset val="134"/>
      </rPr>
      <t>登记的病原学阳性患者数。</t>
    </r>
  </si>
  <si>
    <t>城市饮用水水质监测区（县）覆盖率（%）</t>
  </si>
  <si>
    <t>城市饮用水水质监测区（县）覆盖率（%）=设置城市饮用水水质监测点区（县）数÷应开展城市饮用水水质监测点区（县）数×100%</t>
  </si>
  <si>
    <t>新增指标</t>
  </si>
  <si>
    <t>农村饮用水水质监测乡镇覆盖率（%）</t>
  </si>
  <si>
    <t>农村饮用水水质监测乡镇覆盖率（%）=设置农村饮用水水质监测点乡镇数÷应开展农村饮用水水质监测点乡镇数×100%</t>
  </si>
  <si>
    <r>
      <rPr>
        <sz val="12"/>
        <rFont val="宋体"/>
        <charset val="134"/>
      </rPr>
      <t>学生常见病监测和干预地市覆盖率（</t>
    </r>
    <r>
      <rPr>
        <sz val="12"/>
        <rFont val="Times New Roman"/>
        <charset val="134"/>
      </rPr>
      <t>%</t>
    </r>
    <r>
      <rPr>
        <sz val="12"/>
        <rFont val="宋体"/>
        <charset val="134"/>
      </rPr>
      <t>）</t>
    </r>
  </si>
  <si>
    <t>反映学生常见病监测和干预地市覆盖情况</t>
  </si>
  <si>
    <r>
      <rPr>
        <sz val="12"/>
        <rFont val="宋体"/>
        <charset val="134"/>
      </rPr>
      <t>在册严重精神障碍患者管理率（</t>
    </r>
    <r>
      <rPr>
        <sz val="12"/>
        <rFont val="Times New Roman"/>
        <charset val="134"/>
      </rPr>
      <t>%</t>
    </r>
    <r>
      <rPr>
        <sz val="12"/>
        <rFont val="宋体"/>
        <charset val="134"/>
      </rPr>
      <t>）</t>
    </r>
  </si>
  <si>
    <t>反映严重精神障碍患者管理的质量</t>
  </si>
  <si>
    <r>
      <rPr>
        <sz val="12"/>
        <rFont val="宋体"/>
        <charset val="134"/>
      </rPr>
      <t>全省突发公共卫生事件及时报告率（</t>
    </r>
    <r>
      <rPr>
        <sz val="12"/>
        <rFont val="Times New Roman"/>
        <charset val="134"/>
      </rPr>
      <t>%</t>
    </r>
    <r>
      <rPr>
        <sz val="12"/>
        <rFont val="宋体"/>
        <charset val="134"/>
      </rPr>
      <t>）</t>
    </r>
  </si>
  <si>
    <r>
      <rPr>
        <sz val="12"/>
        <rFont val="宋体"/>
        <charset val="134"/>
      </rPr>
      <t>突发公共卫生事件实际及时报告件数</t>
    </r>
    <r>
      <rPr>
        <sz val="12"/>
        <rFont val="Times New Roman"/>
        <charset val="134"/>
      </rPr>
      <t>/</t>
    </r>
    <r>
      <rPr>
        <sz val="12"/>
        <rFont val="宋体"/>
        <charset val="134"/>
      </rPr>
      <t>突发公共卫生事件应及时报告件数</t>
    </r>
  </si>
  <si>
    <t>慢性病综合防控示范区建设管理率（%）</t>
  </si>
  <si>
    <t>按照示范区指标要求开展动态管理的示范区数/已建设完成的示范区数</t>
  </si>
  <si>
    <t>新增指标（建议把原有指标“全省非珠三角地区慢性病综合防控示范区动态管理数量”替换为此指标）</t>
  </si>
  <si>
    <t>时效指标</t>
  </si>
  <si>
    <t>项目完成时间</t>
  </si>
  <si>
    <t>成本指标</t>
  </si>
  <si>
    <t>项目预算控制</t>
  </si>
  <si>
    <t>不超预算</t>
  </si>
  <si>
    <t>效益指标</t>
  </si>
  <si>
    <t>社会效益指标</t>
  </si>
  <si>
    <r>
      <rPr>
        <sz val="12"/>
        <rFont val="宋体"/>
        <charset val="134"/>
      </rPr>
      <t>重大公共卫生事件发生的风险逐步降低（是</t>
    </r>
    <r>
      <rPr>
        <sz val="12"/>
        <rFont val="Times New Roman"/>
        <charset val="134"/>
      </rPr>
      <t>/</t>
    </r>
    <r>
      <rPr>
        <sz val="12"/>
        <rFont val="宋体"/>
        <charset val="134"/>
      </rPr>
      <t>否）</t>
    </r>
  </si>
  <si>
    <t>是</t>
  </si>
  <si>
    <t>服务对象满意度指标</t>
  </si>
  <si>
    <r>
      <rPr>
        <sz val="12"/>
        <rFont val="宋体"/>
        <charset val="134"/>
      </rPr>
      <t>接受疾病防治服务对象满意度（</t>
    </r>
    <r>
      <rPr>
        <sz val="12"/>
        <rFont val="Times New Roman"/>
        <charset val="134"/>
      </rPr>
      <t>%</t>
    </r>
    <r>
      <rPr>
        <sz val="12"/>
        <rFont val="宋体"/>
        <charset val="134"/>
      </rPr>
      <t>）</t>
    </r>
  </si>
  <si>
    <r>
      <rPr>
        <sz val="12"/>
        <rFont val="宋体"/>
        <charset val="134"/>
      </rPr>
      <t>调查表示满意的服务对象人数</t>
    </r>
    <r>
      <rPr>
        <sz val="12"/>
        <rFont val="Times New Roman"/>
        <charset val="134"/>
      </rPr>
      <t>/</t>
    </r>
    <r>
      <rPr>
        <sz val="12"/>
        <rFont val="宋体"/>
        <charset val="134"/>
      </rPr>
      <t>调查人数</t>
    </r>
    <r>
      <rPr>
        <sz val="12"/>
        <rFont val="Times New Roman"/>
        <charset val="134"/>
      </rPr>
      <t>*100%</t>
    </r>
    <r>
      <rPr>
        <sz val="12"/>
        <rFont val="宋体"/>
        <charset val="134"/>
      </rPr>
      <t>。</t>
    </r>
  </si>
</sst>
</file>

<file path=xl/styles.xml><?xml version="1.0" encoding="utf-8"?>
<styleSheet xmlns="http://schemas.openxmlformats.org/spreadsheetml/2006/main">
  <numFmts count="13">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 numFmtId="177" formatCode="0.000_ "/>
    <numFmt numFmtId="178" formatCode="0.0000_ "/>
    <numFmt numFmtId="179" formatCode="0_ "/>
    <numFmt numFmtId="180" formatCode="0.0000_);[Red]\(0.0000\)"/>
    <numFmt numFmtId="181" formatCode="0_);[Red]\(0\)"/>
    <numFmt numFmtId="182" formatCode="0.00_);[Red]\(0.00\)"/>
    <numFmt numFmtId="183" formatCode="0;[Red]0"/>
    <numFmt numFmtId="184" formatCode="0.0000;[Red]0.0000"/>
  </numFmts>
  <fonts count="76">
    <font>
      <sz val="11"/>
      <color indexed="8"/>
      <name val="宋体"/>
      <charset val="134"/>
    </font>
    <font>
      <sz val="10"/>
      <name val="Times New Roman"/>
      <charset val="134"/>
    </font>
    <font>
      <sz val="12"/>
      <name val="黑体"/>
      <charset val="134"/>
    </font>
    <font>
      <sz val="18"/>
      <name val="黑体"/>
      <charset val="134"/>
    </font>
    <font>
      <sz val="18"/>
      <name val="Times New Roman"/>
      <charset val="134"/>
    </font>
    <font>
      <sz val="10"/>
      <name val="宋体"/>
      <charset val="134"/>
    </font>
    <font>
      <sz val="12"/>
      <name val="宋体"/>
      <charset val="134"/>
    </font>
    <font>
      <sz val="12"/>
      <name val="Times New Roman"/>
      <charset val="134"/>
    </font>
    <font>
      <sz val="11"/>
      <color theme="1"/>
      <name val="Times New Roman"/>
      <charset val="134"/>
    </font>
    <font>
      <sz val="12"/>
      <color rgb="FFFF0000"/>
      <name val="宋体"/>
      <charset val="134"/>
    </font>
    <font>
      <sz val="9"/>
      <name val="Times New Roman"/>
      <charset val="134"/>
    </font>
    <font>
      <sz val="8"/>
      <name val="Times New Roman"/>
      <charset val="134"/>
    </font>
    <font>
      <b/>
      <sz val="8"/>
      <name val="Times New Roman"/>
      <charset val="134"/>
    </font>
    <font>
      <sz val="8"/>
      <name val="宋体"/>
      <charset val="134"/>
    </font>
    <font>
      <sz val="10"/>
      <name val="黑体"/>
      <charset val="134"/>
    </font>
    <font>
      <sz val="16"/>
      <name val="方正小标宋简体"/>
      <charset val="134"/>
    </font>
    <font>
      <sz val="8"/>
      <name val="方正小标宋简体"/>
      <charset val="134"/>
    </font>
    <font>
      <b/>
      <sz val="10"/>
      <name val="宋体"/>
      <charset val="134"/>
    </font>
    <font>
      <b/>
      <sz val="10"/>
      <name val="Times New Roman"/>
      <charset val="134"/>
    </font>
    <font>
      <b/>
      <sz val="9"/>
      <name val="Times New Roman"/>
      <charset val="134"/>
    </font>
    <font>
      <b/>
      <sz val="8"/>
      <name val="宋体"/>
      <charset val="134"/>
    </font>
    <font>
      <b/>
      <sz val="9"/>
      <name val="宋体"/>
      <charset val="134"/>
    </font>
    <font>
      <sz val="8"/>
      <name val="宋体-简"/>
      <charset val="134"/>
    </font>
    <font>
      <sz val="8"/>
      <name val="Calibri"/>
      <charset val="134"/>
    </font>
    <font>
      <sz val="7"/>
      <name val="宋体"/>
      <charset val="134"/>
    </font>
    <font>
      <sz val="8"/>
      <name val="宋体"/>
      <charset val="134"/>
      <scheme val="minor"/>
    </font>
    <font>
      <b/>
      <sz val="11"/>
      <name val="Times New Roman"/>
      <charset val="134"/>
    </font>
    <font>
      <sz val="11"/>
      <name val="Times New Roman"/>
      <charset val="134"/>
    </font>
    <font>
      <b/>
      <sz val="18"/>
      <name val="Times New Roman"/>
      <charset val="134"/>
    </font>
    <font>
      <b/>
      <sz val="14"/>
      <name val="Times New Roman"/>
      <charset val="134"/>
    </font>
    <font>
      <sz val="10.5"/>
      <name val="宋体"/>
      <charset val="134"/>
    </font>
    <font>
      <sz val="9"/>
      <name val="宋体"/>
      <charset val="134"/>
    </font>
    <font>
      <b/>
      <sz val="12"/>
      <color theme="1"/>
      <name val="Times New Roman"/>
      <charset val="134"/>
    </font>
    <font>
      <sz val="11"/>
      <color indexed="8"/>
      <name val="Times New Roman"/>
      <charset val="134"/>
    </font>
    <font>
      <sz val="11"/>
      <color theme="1"/>
      <name val="黑体"/>
      <charset val="134"/>
    </font>
    <font>
      <b/>
      <sz val="16"/>
      <color theme="1"/>
      <name val="Times New Roman"/>
      <charset val="134"/>
    </font>
    <font>
      <b/>
      <sz val="14"/>
      <color theme="1"/>
      <name val="Times New Roman"/>
      <charset val="134"/>
    </font>
    <font>
      <sz val="9"/>
      <color theme="1"/>
      <name val="Times New Roman"/>
      <charset val="134"/>
    </font>
    <font>
      <sz val="10"/>
      <color theme="1"/>
      <name val="宋体"/>
      <charset val="134"/>
    </font>
    <font>
      <b/>
      <sz val="11"/>
      <color theme="1"/>
      <name val="Times New Roman"/>
      <charset val="134"/>
    </font>
    <font>
      <sz val="10"/>
      <color theme="1"/>
      <name val="宋体"/>
      <charset val="134"/>
      <scheme val="minor"/>
    </font>
    <font>
      <sz val="10"/>
      <color indexed="8"/>
      <name val="Times New Roman"/>
      <charset val="134"/>
    </font>
    <font>
      <sz val="10"/>
      <color indexed="8"/>
      <name val="宋体"/>
      <charset val="134"/>
      <scheme val="minor"/>
    </font>
    <font>
      <sz val="10"/>
      <color rgb="FF000000"/>
      <name val="宋体"/>
      <charset val="134"/>
      <scheme val="minor"/>
    </font>
    <font>
      <sz val="11"/>
      <color theme="1"/>
      <name val="宋体"/>
      <charset val="134"/>
      <scheme val="minor"/>
    </font>
    <font>
      <b/>
      <sz val="11"/>
      <color theme="1"/>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2"/>
      <name val="Arial"/>
      <charset val="134"/>
    </font>
    <font>
      <sz val="12"/>
      <name val="仿宋_GB2312"/>
      <charset val="134"/>
    </font>
    <font>
      <sz val="7"/>
      <name val="宋体-简"/>
      <charset val="134"/>
    </font>
    <font>
      <sz val="7"/>
      <name val="Times New Roman"/>
      <charset val="134"/>
    </font>
    <font>
      <b/>
      <sz val="18"/>
      <name val="宋体"/>
      <charset val="134"/>
    </font>
    <font>
      <b/>
      <sz val="16"/>
      <color theme="1"/>
      <name val="宋体"/>
      <charset val="134"/>
    </font>
    <font>
      <b/>
      <sz val="12"/>
      <color theme="1"/>
      <name val="宋体"/>
      <charset val="134"/>
    </font>
    <font>
      <b/>
      <sz val="11"/>
      <color theme="1"/>
      <name val="宋体"/>
      <charset val="134"/>
    </font>
    <font>
      <b/>
      <sz val="11"/>
      <name val="宋体"/>
      <charset val="134"/>
    </font>
    <font>
      <sz val="11"/>
      <name val="宋体"/>
      <charset val="134"/>
    </font>
    <font>
      <sz val="9"/>
      <name val="宋体"/>
      <charset val="134"/>
    </font>
    <font>
      <b/>
      <sz val="9"/>
      <name val="宋体"/>
      <charset val="134"/>
    </font>
  </fonts>
  <fills count="35">
    <fill>
      <patternFill patternType="none"/>
    </fill>
    <fill>
      <patternFill patternType="gray125"/>
    </fill>
    <fill>
      <patternFill patternType="solid">
        <fgColor theme="9" tint="0.8"/>
        <bgColor indexed="64"/>
      </patternFill>
    </fill>
    <fill>
      <patternFill patternType="solid">
        <fgColor theme="8" tint="0.8"/>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s>
  <borders count="16">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8">
    <xf numFmtId="0" fontId="0" fillId="0" borderId="0">
      <alignment vertical="center"/>
    </xf>
    <xf numFmtId="42" fontId="44" fillId="0" borderId="0" applyFont="0" applyFill="0" applyBorder="0" applyAlignment="0" applyProtection="0">
      <alignment vertical="center"/>
    </xf>
    <xf numFmtId="0" fontId="51" fillId="7" borderId="0" applyNumberFormat="0" applyBorder="0" applyAlignment="0" applyProtection="0">
      <alignment vertical="center"/>
    </xf>
    <xf numFmtId="0" fontId="46" fillId="4" borderId="9"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51" fillId="8" borderId="0" applyNumberFormat="0" applyBorder="0" applyAlignment="0" applyProtection="0">
      <alignment vertical="center"/>
    </xf>
    <xf numFmtId="0" fontId="53" fillId="11" borderId="0" applyNumberFormat="0" applyBorder="0" applyAlignment="0" applyProtection="0">
      <alignment vertical="center"/>
    </xf>
    <xf numFmtId="43" fontId="0" fillId="0" borderId="0" applyFont="0" applyBorder="0" applyAlignment="0" applyProtection="0">
      <alignment vertical="center"/>
    </xf>
    <xf numFmtId="0" fontId="52" fillId="14" borderId="0" applyNumberFormat="0" applyBorder="0" applyAlignment="0" applyProtection="0">
      <alignment vertical="center"/>
    </xf>
    <xf numFmtId="0" fontId="48" fillId="0" borderId="0" applyNumberFormat="0" applyFill="0" applyBorder="0" applyAlignment="0" applyProtection="0">
      <alignment vertical="center"/>
    </xf>
    <xf numFmtId="9" fontId="44" fillId="0" borderId="0" applyFont="0" applyFill="0" applyBorder="0" applyAlignment="0" applyProtection="0">
      <alignment vertical="center"/>
    </xf>
    <xf numFmtId="0" fontId="57" fillId="0" borderId="0" applyNumberFormat="0" applyFill="0" applyBorder="0" applyAlignment="0" applyProtection="0">
      <alignment vertical="center"/>
    </xf>
    <xf numFmtId="0" fontId="6" fillId="0" borderId="0">
      <alignment vertical="center"/>
    </xf>
    <xf numFmtId="0" fontId="44" fillId="17" borderId="12" applyNumberFormat="0" applyFont="0" applyAlignment="0" applyProtection="0">
      <alignment vertical="center"/>
    </xf>
    <xf numFmtId="0" fontId="52" fillId="21" borderId="0" applyNumberFormat="0" applyBorder="0" applyAlignment="0" applyProtection="0">
      <alignment vertical="center"/>
    </xf>
    <xf numFmtId="0" fontId="5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6" fillId="0" borderId="0">
      <alignment vertical="center"/>
    </xf>
    <xf numFmtId="0" fontId="60" fillId="0" borderId="0" applyNumberFormat="0" applyFill="0" applyBorder="0" applyAlignment="0" applyProtection="0">
      <alignment vertical="center"/>
    </xf>
    <xf numFmtId="0" fontId="49" fillId="0" borderId="10" applyNumberFormat="0" applyFill="0" applyAlignment="0" applyProtection="0">
      <alignment vertical="center"/>
    </xf>
    <xf numFmtId="0" fontId="47" fillId="0" borderId="10" applyNumberFormat="0" applyFill="0" applyAlignment="0" applyProtection="0">
      <alignment vertical="center"/>
    </xf>
    <xf numFmtId="0" fontId="52" fillId="23" borderId="0" applyNumberFormat="0" applyBorder="0" applyAlignment="0" applyProtection="0">
      <alignment vertical="center"/>
    </xf>
    <xf numFmtId="0" fontId="55" fillId="0" borderId="11" applyNumberFormat="0" applyFill="0" applyAlignment="0" applyProtection="0">
      <alignment vertical="center"/>
    </xf>
    <xf numFmtId="0" fontId="52" fillId="6" borderId="0" applyNumberFormat="0" applyBorder="0" applyAlignment="0" applyProtection="0">
      <alignment vertical="center"/>
    </xf>
    <xf numFmtId="0" fontId="61" fillId="22" borderId="13" applyNumberFormat="0" applyAlignment="0" applyProtection="0">
      <alignment vertical="center"/>
    </xf>
    <xf numFmtId="0" fontId="58" fillId="22" borderId="9" applyNumberFormat="0" applyAlignment="0" applyProtection="0">
      <alignment vertical="center"/>
    </xf>
    <xf numFmtId="0" fontId="62" fillId="24" borderId="14" applyNumberFormat="0" applyAlignment="0" applyProtection="0">
      <alignment vertical="center"/>
    </xf>
    <xf numFmtId="0" fontId="51" fillId="5" borderId="0" applyNumberFormat="0" applyBorder="0" applyAlignment="0" applyProtection="0">
      <alignment vertical="center"/>
    </xf>
    <xf numFmtId="0" fontId="52" fillId="26" borderId="0" applyNumberFormat="0" applyBorder="0" applyAlignment="0" applyProtection="0">
      <alignment vertical="center"/>
    </xf>
    <xf numFmtId="0" fontId="63" fillId="0" borderId="15" applyNumberFormat="0" applyFill="0" applyAlignment="0" applyProtection="0">
      <alignment vertical="center"/>
    </xf>
    <xf numFmtId="0" fontId="45" fillId="0" borderId="8" applyNumberFormat="0" applyFill="0" applyAlignment="0" applyProtection="0">
      <alignment vertical="center"/>
    </xf>
    <xf numFmtId="0" fontId="54" fillId="12" borderId="0" applyNumberFormat="0" applyBorder="0" applyAlignment="0" applyProtection="0">
      <alignment vertical="center"/>
    </xf>
    <xf numFmtId="0" fontId="56" fillId="13" borderId="0" applyNumberFormat="0" applyBorder="0" applyAlignment="0" applyProtection="0">
      <alignment vertical="center"/>
    </xf>
    <xf numFmtId="0" fontId="51" fillId="28" borderId="0" applyNumberFormat="0" applyBorder="0" applyAlignment="0" applyProtection="0">
      <alignment vertical="center"/>
    </xf>
    <xf numFmtId="0" fontId="52" fillId="15" borderId="0" applyNumberFormat="0" applyBorder="0" applyAlignment="0" applyProtection="0">
      <alignment vertical="center"/>
    </xf>
    <xf numFmtId="0" fontId="51" fillId="20" borderId="0" applyNumberFormat="0" applyBorder="0" applyAlignment="0" applyProtection="0">
      <alignment vertical="center"/>
    </xf>
    <xf numFmtId="0" fontId="51" fillId="32" borderId="0" applyNumberFormat="0" applyBorder="0" applyAlignment="0" applyProtection="0">
      <alignment vertical="center"/>
    </xf>
    <xf numFmtId="0" fontId="0" fillId="0" borderId="0">
      <alignment vertical="center"/>
    </xf>
    <xf numFmtId="0" fontId="51" fillId="27" borderId="0" applyNumberFormat="0" applyBorder="0" applyAlignment="0" applyProtection="0">
      <alignment vertical="center"/>
    </xf>
    <xf numFmtId="0" fontId="64" fillId="0" borderId="0" applyNumberFormat="0" applyBorder="0" applyAlignment="0" applyProtection="0">
      <alignment vertical="center"/>
    </xf>
    <xf numFmtId="0" fontId="51" fillId="16" borderId="0" applyNumberFormat="0" applyBorder="0" applyAlignment="0" applyProtection="0">
      <alignment vertical="center"/>
    </xf>
    <xf numFmtId="0" fontId="52" fillId="31" borderId="0" applyNumberFormat="0" applyBorder="0" applyAlignment="0" applyProtection="0">
      <alignment vertical="center"/>
    </xf>
    <xf numFmtId="0" fontId="6" fillId="0" borderId="0">
      <alignment vertical="center"/>
    </xf>
    <xf numFmtId="0" fontId="52" fillId="34" borderId="0" applyNumberFormat="0" applyBorder="0" applyAlignment="0" applyProtection="0">
      <alignment vertical="center"/>
    </xf>
    <xf numFmtId="0" fontId="51" fillId="19" borderId="0" applyNumberFormat="0" applyBorder="0" applyAlignment="0" applyProtection="0">
      <alignment vertical="center"/>
    </xf>
    <xf numFmtId="0" fontId="44" fillId="0" borderId="0">
      <alignment vertical="center"/>
    </xf>
    <xf numFmtId="0" fontId="51" fillId="30" borderId="0" applyNumberFormat="0" applyBorder="0" applyAlignment="0" applyProtection="0">
      <alignment vertical="center"/>
    </xf>
    <xf numFmtId="0" fontId="52" fillId="25" borderId="0" applyNumberFormat="0" applyBorder="0" applyAlignment="0" applyProtection="0">
      <alignment vertical="center"/>
    </xf>
    <xf numFmtId="0" fontId="51" fillId="33" borderId="0" applyNumberFormat="0" applyBorder="0" applyAlignment="0" applyProtection="0">
      <alignment vertical="center"/>
    </xf>
    <xf numFmtId="0" fontId="52" fillId="18" borderId="0" applyNumberFormat="0" applyBorder="0" applyAlignment="0" applyProtection="0">
      <alignment vertical="center"/>
    </xf>
    <xf numFmtId="0" fontId="52" fillId="29"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6" fillId="0" borderId="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Protection="0">
      <alignment vertical="center"/>
    </xf>
    <xf numFmtId="0" fontId="6" fillId="0" borderId="0">
      <alignment vertical="center"/>
    </xf>
    <xf numFmtId="43" fontId="0" fillId="0" borderId="0" applyFont="0" applyFill="0" applyBorder="0" applyAlignment="0" applyProtection="0">
      <alignment vertical="center"/>
    </xf>
    <xf numFmtId="0" fontId="6"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6" fillId="0" borderId="0" applyProtection="0">
      <alignment vertical="center"/>
    </xf>
  </cellStyleXfs>
  <cellXfs count="258">
    <xf numFmtId="0" fontId="0" fillId="0" borderId="0" xfId="0" applyFill="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1"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4" fontId="7" fillId="0" borderId="2" xfId="0" applyNumberFormat="1" applyFont="1" applyFill="1" applyBorder="1" applyAlignment="1">
      <alignment horizontal="center" vertical="center" wrapText="1"/>
    </xf>
    <xf numFmtId="0" fontId="6" fillId="0" borderId="2" xfId="67" applyFont="1" applyFill="1" applyBorder="1" applyAlignment="1" applyProtection="1">
      <alignment horizontal="left" vertical="center" wrapText="1"/>
    </xf>
    <xf numFmtId="0" fontId="7" fillId="0" borderId="2" xfId="67" applyFont="1" applyFill="1" applyBorder="1" applyAlignment="1" applyProtection="1">
      <alignment horizontal="left" vertical="center" wrapText="1"/>
    </xf>
    <xf numFmtId="0" fontId="6" fillId="0" borderId="2" xfId="67" applyFont="1" applyFill="1" applyBorder="1" applyAlignment="1" applyProtection="1">
      <alignment horizontal="center" vertical="center"/>
    </xf>
    <xf numFmtId="0" fontId="7" fillId="0" borderId="2" xfId="67" applyFont="1" applyFill="1" applyBorder="1" applyAlignment="1" applyProtection="1">
      <alignment horizontal="center" vertical="center"/>
    </xf>
    <xf numFmtId="0" fontId="6" fillId="0" borderId="3" xfId="67" applyFont="1" applyFill="1" applyBorder="1" applyAlignment="1" applyProtection="1">
      <alignment horizontal="center" vertical="center"/>
    </xf>
    <xf numFmtId="176" fontId="6" fillId="0" borderId="2" xfId="67" applyNumberFormat="1" applyFont="1" applyFill="1" applyBorder="1" applyAlignment="1" applyProtection="1">
      <alignment horizontal="center" vertical="center" wrapText="1"/>
    </xf>
    <xf numFmtId="176" fontId="7" fillId="0" borderId="2" xfId="67"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xf>
    <xf numFmtId="0" fontId="7" fillId="0" borderId="3" xfId="67" applyFont="1" applyFill="1" applyBorder="1" applyAlignment="1" applyProtection="1">
      <alignment horizontal="center" vertical="center"/>
    </xf>
    <xf numFmtId="0" fontId="6" fillId="0" borderId="2" xfId="67" applyFont="1" applyFill="1" applyBorder="1" applyAlignment="1" applyProtection="1">
      <alignment horizontal="center" vertical="center" wrapText="1"/>
    </xf>
    <xf numFmtId="0" fontId="7" fillId="0" borderId="2" xfId="67"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57" fontId="7" fillId="0" borderId="0"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5" xfId="67" applyFont="1" applyFill="1" applyBorder="1" applyAlignment="1" applyProtection="1">
      <alignment horizontal="center" vertical="center"/>
    </xf>
    <xf numFmtId="0" fontId="6" fillId="0" borderId="4" xfId="67" applyFont="1" applyFill="1" applyBorder="1" applyAlignment="1" applyProtection="1">
      <alignment horizontal="center" vertical="center" wrapText="1"/>
    </xf>
    <xf numFmtId="0" fontId="7" fillId="0" borderId="6" xfId="67" applyFont="1" applyFill="1" applyBorder="1" applyAlignment="1" applyProtection="1">
      <alignment horizontal="center" vertical="center" wrapText="1"/>
    </xf>
    <xf numFmtId="9" fontId="6" fillId="0" borderId="2" xfId="0" applyNumberFormat="1" applyFont="1" applyFill="1" applyBorder="1" applyAlignment="1">
      <alignment horizontal="center" vertical="center"/>
    </xf>
    <xf numFmtId="0" fontId="5" fillId="0" borderId="0" xfId="0" applyFont="1" applyFill="1" applyBorder="1" applyAlignment="1">
      <alignment wrapText="1"/>
    </xf>
    <xf numFmtId="0" fontId="1" fillId="0" borderId="2" xfId="0" applyFont="1" applyFill="1" applyBorder="1" applyAlignment="1"/>
    <xf numFmtId="0" fontId="9" fillId="0" borderId="2"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lignment vertical="center"/>
    </xf>
    <xf numFmtId="0" fontId="12" fillId="0" borderId="0" xfId="0" applyFont="1" applyFill="1">
      <alignment vertical="center"/>
    </xf>
    <xf numFmtId="0" fontId="11" fillId="2" borderId="0" xfId="0" applyFont="1" applyFill="1">
      <alignment vertical="center"/>
    </xf>
    <xf numFmtId="0" fontId="11" fillId="2" borderId="0" xfId="0" applyFont="1" applyFill="1" applyAlignment="1">
      <alignment vertical="center"/>
    </xf>
    <xf numFmtId="0" fontId="11" fillId="3" borderId="0" xfId="0" applyFont="1" applyFill="1">
      <alignment vertical="center"/>
    </xf>
    <xf numFmtId="0" fontId="13" fillId="0" borderId="0" xfId="0" applyFont="1" applyFill="1">
      <alignment vertical="center"/>
    </xf>
    <xf numFmtId="0" fontId="13" fillId="0" borderId="0" xfId="0" applyFont="1" applyFill="1" applyAlignment="1">
      <alignment vertical="center"/>
    </xf>
    <xf numFmtId="177" fontId="13" fillId="0" borderId="0" xfId="42" applyNumberFormat="1" applyFont="1" applyFill="1" applyBorder="1" applyAlignment="1">
      <alignment horizontal="center"/>
    </xf>
    <xf numFmtId="178" fontId="13" fillId="0" borderId="0" xfId="42" applyNumberFormat="1" applyFont="1" applyFill="1" applyBorder="1" applyAlignment="1">
      <alignment horizontal="center"/>
    </xf>
    <xf numFmtId="176" fontId="13" fillId="0" borderId="0" xfId="42" applyNumberFormat="1" applyFont="1" applyFill="1" applyBorder="1" applyAlignment="1">
      <alignment horizontal="center"/>
    </xf>
    <xf numFmtId="179" fontId="13" fillId="0" borderId="0" xfId="42" applyNumberFormat="1" applyFont="1" applyFill="1" applyBorder="1" applyAlignment="1">
      <alignment horizontal="center"/>
    </xf>
    <xf numFmtId="180" fontId="13" fillId="0" borderId="0" xfId="42" applyNumberFormat="1" applyFont="1" applyFill="1" applyBorder="1" applyAlignment="1">
      <alignment horizontal="center"/>
    </xf>
    <xf numFmtId="180" fontId="13" fillId="0" borderId="0" xfId="42" applyNumberFormat="1" applyFont="1" applyFill="1" applyAlignment="1">
      <alignment horizontal="center"/>
    </xf>
    <xf numFmtId="178" fontId="13" fillId="0" borderId="0" xfId="42" applyNumberFormat="1" applyFont="1" applyFill="1" applyAlignment="1">
      <alignment horizontal="center"/>
    </xf>
    <xf numFmtId="179" fontId="13" fillId="0" borderId="0" xfId="42" applyNumberFormat="1" applyFont="1" applyFill="1" applyBorder="1" applyAlignment="1">
      <alignment horizontal="center" vertical="center"/>
    </xf>
    <xf numFmtId="178" fontId="13" fillId="0" borderId="0" xfId="42" applyNumberFormat="1" applyFont="1" applyFill="1" applyBorder="1" applyAlignment="1">
      <alignment horizontal="center" vertical="center"/>
    </xf>
    <xf numFmtId="176" fontId="13" fillId="0" borderId="0" xfId="42" applyNumberFormat="1" applyFont="1" applyFill="1" applyBorder="1" applyAlignment="1">
      <alignment horizontal="center" vertical="center"/>
    </xf>
    <xf numFmtId="0" fontId="13" fillId="0" borderId="0" xfId="0" applyFont="1" applyFill="1" applyAlignment="1">
      <alignment horizontal="center" vertical="center"/>
    </xf>
    <xf numFmtId="178" fontId="13" fillId="0" borderId="0" xfId="0" applyNumberFormat="1" applyFont="1" applyFill="1" applyAlignment="1">
      <alignment horizontal="center" vertical="center"/>
    </xf>
    <xf numFmtId="0" fontId="13" fillId="0" borderId="0" xfId="0" applyNumberFormat="1" applyFont="1" applyFill="1" applyAlignment="1">
      <alignment horizontal="center" vertical="center"/>
    </xf>
    <xf numFmtId="0" fontId="13" fillId="0" borderId="0" xfId="42" applyNumberFormat="1" applyFont="1" applyFill="1" applyBorder="1" applyAlignment="1">
      <alignment horizontal="center"/>
    </xf>
    <xf numFmtId="176" fontId="13" fillId="0" borderId="0" xfId="0" applyNumberFormat="1" applyFont="1" applyFill="1" applyAlignment="1">
      <alignment horizontal="center" vertical="center"/>
    </xf>
    <xf numFmtId="181" fontId="14" fillId="0" borderId="0" xfId="42" applyNumberFormat="1" applyFont="1" applyFill="1" applyBorder="1" applyAlignment="1"/>
    <xf numFmtId="0" fontId="15" fillId="0" borderId="0" xfId="0" applyFont="1" applyFill="1" applyAlignment="1">
      <alignment horizontal="center" vertical="center"/>
    </xf>
    <xf numFmtId="0" fontId="13" fillId="0" borderId="0" xfId="42" applyNumberFormat="1" applyFont="1" applyFill="1" applyBorder="1" applyAlignment="1"/>
    <xf numFmtId="177" fontId="16" fillId="0" borderId="0" xfId="0" applyNumberFormat="1" applyFont="1" applyFill="1" applyBorder="1" applyAlignment="1">
      <alignment horizontal="center" vertical="center"/>
    </xf>
    <xf numFmtId="178" fontId="16" fillId="0" borderId="0"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7" fillId="0" borderId="2" xfId="42" applyNumberFormat="1" applyFont="1" applyFill="1" applyBorder="1" applyAlignment="1">
      <alignment horizontal="center" vertical="center" wrapText="1"/>
    </xf>
    <xf numFmtId="177" fontId="17" fillId="0" borderId="2" xfId="42" applyNumberFormat="1" applyFont="1" applyFill="1" applyBorder="1" applyAlignment="1">
      <alignment horizontal="center" vertical="center" wrapText="1"/>
    </xf>
    <xf numFmtId="178" fontId="18" fillId="0" borderId="2" xfId="42" applyNumberFormat="1" applyFont="1" applyFill="1" applyBorder="1" applyAlignment="1">
      <alignment horizontal="center" vertical="center" wrapText="1"/>
    </xf>
    <xf numFmtId="176" fontId="18" fillId="0" borderId="2" xfId="42" applyNumberFormat="1" applyFont="1" applyFill="1" applyBorder="1" applyAlignment="1">
      <alignment horizontal="center" vertical="center" wrapText="1"/>
    </xf>
    <xf numFmtId="176" fontId="17" fillId="0" borderId="2" xfId="42" applyNumberFormat="1" applyFont="1" applyFill="1" applyBorder="1" applyAlignment="1">
      <alignment horizontal="center" vertical="center" wrapText="1"/>
    </xf>
    <xf numFmtId="0" fontId="19" fillId="0" borderId="2" xfId="42" applyNumberFormat="1" applyFont="1" applyFill="1" applyBorder="1" applyAlignment="1">
      <alignment horizontal="center" vertical="center" wrapText="1"/>
    </xf>
    <xf numFmtId="178" fontId="20" fillId="0" borderId="2" xfId="42" applyNumberFormat="1" applyFont="1" applyFill="1" applyBorder="1" applyAlignment="1">
      <alignment horizontal="center" vertical="center" wrapText="1"/>
    </xf>
    <xf numFmtId="176" fontId="20" fillId="0" borderId="2" xfId="42" applyNumberFormat="1" applyFont="1" applyFill="1" applyBorder="1" applyAlignment="1">
      <alignment horizontal="center" vertical="center" wrapText="1"/>
    </xf>
    <xf numFmtId="176" fontId="21" fillId="0" borderId="2" xfId="42" applyNumberFormat="1" applyFont="1" applyFill="1" applyBorder="1" applyAlignment="1">
      <alignment horizontal="center" vertical="center" wrapText="1"/>
    </xf>
    <xf numFmtId="176" fontId="19" fillId="0" borderId="2" xfId="42" applyNumberFormat="1" applyFont="1" applyFill="1" applyBorder="1" applyAlignment="1">
      <alignment horizontal="center" vertical="center" wrapText="1"/>
    </xf>
    <xf numFmtId="178" fontId="21" fillId="0" borderId="2" xfId="42" applyNumberFormat="1" applyFont="1" applyFill="1" applyBorder="1" applyAlignment="1">
      <alignment horizontal="center" vertical="center" wrapText="1"/>
    </xf>
    <xf numFmtId="0" fontId="11" fillId="0" borderId="2" xfId="42" applyNumberFormat="1" applyFont="1" applyFill="1" applyBorder="1" applyAlignment="1">
      <alignment horizontal="center" vertical="center" wrapText="1"/>
    </xf>
    <xf numFmtId="178" fontId="22" fillId="0" borderId="2" xfId="42" applyNumberFormat="1" applyFont="1" applyFill="1" applyBorder="1" applyAlignment="1">
      <alignment horizontal="center" vertical="center" wrapText="1"/>
    </xf>
    <xf numFmtId="176" fontId="11" fillId="0" borderId="2" xfId="42" applyNumberFormat="1" applyFont="1" applyFill="1" applyBorder="1" applyAlignment="1">
      <alignment horizontal="center" vertical="center" wrapText="1"/>
    </xf>
    <xf numFmtId="179" fontId="22" fillId="0" borderId="2" xfId="42" applyNumberFormat="1" applyFont="1" applyFill="1" applyBorder="1" applyAlignment="1">
      <alignment horizontal="center" vertical="center" wrapText="1"/>
    </xf>
    <xf numFmtId="0" fontId="20" fillId="0" borderId="2" xfId="0" applyFont="1" applyFill="1" applyBorder="1" applyAlignment="1">
      <alignment horizontal="center" vertical="center"/>
    </xf>
    <xf numFmtId="179" fontId="12" fillId="0" borderId="2" xfId="42" applyNumberFormat="1" applyFont="1" applyFill="1" applyBorder="1" applyAlignment="1">
      <alignment horizontal="center" vertical="center"/>
    </xf>
    <xf numFmtId="178" fontId="12" fillId="0" borderId="2" xfId="42" applyNumberFormat="1" applyFont="1" applyFill="1" applyBorder="1" applyAlignment="1">
      <alignment horizontal="center" vertical="center"/>
    </xf>
    <xf numFmtId="176" fontId="12" fillId="0" borderId="2" xfId="42" applyNumberFormat="1" applyFont="1" applyFill="1" applyBorder="1" applyAlignment="1">
      <alignment horizontal="center" vertical="center"/>
    </xf>
    <xf numFmtId="179" fontId="12" fillId="0" borderId="2" xfId="8" applyNumberFormat="1" applyFont="1" applyFill="1" applyBorder="1" applyAlignment="1">
      <alignment horizontal="center" vertical="center"/>
    </xf>
    <xf numFmtId="178" fontId="12" fillId="0" borderId="2" xfId="0" applyNumberFormat="1" applyFont="1" applyFill="1" applyBorder="1" applyAlignment="1">
      <alignment horizontal="center" vertical="center" wrapText="1"/>
    </xf>
    <xf numFmtId="176" fontId="12" fillId="0" borderId="2" xfId="8" applyNumberFormat="1" applyFont="1" applyFill="1" applyBorder="1" applyAlignment="1">
      <alignment horizontal="center" vertical="center"/>
    </xf>
    <xf numFmtId="0" fontId="20" fillId="0" borderId="2" xfId="0" applyFont="1" applyFill="1" applyBorder="1" applyAlignment="1">
      <alignment horizontal="center" vertical="center" wrapText="1"/>
    </xf>
    <xf numFmtId="182" fontId="13" fillId="0" borderId="2" xfId="56" applyNumberFormat="1" applyFont="1" applyFill="1" applyBorder="1" applyAlignment="1">
      <alignment horizontal="center" vertical="center" wrapText="1"/>
    </xf>
    <xf numFmtId="0" fontId="13" fillId="0" borderId="2" xfId="0" applyFont="1" applyFill="1" applyBorder="1" applyAlignment="1">
      <alignment horizontal="center"/>
    </xf>
    <xf numFmtId="178" fontId="11" fillId="0" borderId="2" xfId="42" applyNumberFormat="1" applyFont="1" applyFill="1" applyBorder="1" applyAlignment="1">
      <alignment horizontal="center" vertical="center"/>
    </xf>
    <xf numFmtId="176" fontId="11" fillId="0" borderId="2" xfId="42"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80" fontId="11" fillId="0" borderId="2" xfId="42" applyNumberFormat="1" applyFont="1" applyFill="1" applyBorder="1" applyAlignment="1">
      <alignment horizontal="center" vertical="center"/>
    </xf>
    <xf numFmtId="176" fontId="11" fillId="0" borderId="2" xfId="8" applyNumberFormat="1" applyFont="1" applyFill="1" applyBorder="1" applyAlignment="1">
      <alignment horizontal="center" vertical="center"/>
    </xf>
    <xf numFmtId="0" fontId="13" fillId="0" borderId="2" xfId="0" applyFont="1" applyFill="1" applyBorder="1" applyAlignment="1">
      <alignment horizontal="center" vertical="center"/>
    </xf>
    <xf numFmtId="181" fontId="12" fillId="0" borderId="2" xfId="42" applyNumberFormat="1" applyFont="1" applyFill="1" applyBorder="1" applyAlignment="1">
      <alignment horizontal="center" vertical="center" wrapText="1"/>
    </xf>
    <xf numFmtId="178" fontId="12" fillId="0" borderId="2" xfId="42" applyNumberFormat="1" applyFont="1" applyFill="1" applyBorder="1" applyAlignment="1">
      <alignment horizontal="center" vertical="center" wrapText="1"/>
    </xf>
    <xf numFmtId="176" fontId="12" fillId="0" borderId="2" xfId="42" applyNumberFormat="1" applyFont="1" applyFill="1" applyBorder="1" applyAlignment="1">
      <alignment horizontal="center" vertical="center" wrapText="1"/>
    </xf>
    <xf numFmtId="180" fontId="12" fillId="0" borderId="2" xfId="42" applyNumberFormat="1" applyFont="1" applyFill="1" applyBorder="1" applyAlignment="1">
      <alignment horizontal="center" vertical="center"/>
    </xf>
    <xf numFmtId="179"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179" fontId="17" fillId="0" borderId="2" xfId="42" applyNumberFormat="1" applyFont="1" applyFill="1" applyBorder="1" applyAlignment="1">
      <alignment horizontal="center" vertical="center" wrapText="1"/>
    </xf>
    <xf numFmtId="179" fontId="18" fillId="0" borderId="2" xfId="42" applyNumberFormat="1" applyFont="1" applyFill="1" applyBorder="1" applyAlignment="1">
      <alignment horizontal="center" vertical="center" wrapText="1"/>
    </xf>
    <xf numFmtId="179" fontId="13" fillId="0" borderId="2" xfId="42" applyNumberFormat="1" applyFont="1" applyFill="1" applyBorder="1" applyAlignment="1">
      <alignment horizontal="center" vertical="center" wrapText="1"/>
    </xf>
    <xf numFmtId="178" fontId="13" fillId="0" borderId="2" xfId="42" applyNumberFormat="1" applyFont="1" applyFill="1" applyBorder="1" applyAlignment="1">
      <alignment horizontal="center" vertical="center" wrapText="1"/>
    </xf>
    <xf numFmtId="177" fontId="11" fillId="0" borderId="2" xfId="42" applyNumberFormat="1" applyFont="1" applyFill="1" applyBorder="1" applyAlignment="1">
      <alignment horizontal="center" vertical="center" wrapText="1"/>
    </xf>
    <xf numFmtId="177" fontId="12" fillId="0" borderId="2" xfId="42" applyNumberFormat="1" applyFont="1" applyFill="1" applyBorder="1" applyAlignment="1">
      <alignment horizontal="center" vertical="center"/>
    </xf>
    <xf numFmtId="0" fontId="11" fillId="0" borderId="2" xfId="56" applyNumberFormat="1" applyFont="1" applyFill="1" applyBorder="1" applyAlignment="1">
      <alignment horizontal="center" vertical="center" wrapText="1"/>
    </xf>
    <xf numFmtId="178" fontId="11" fillId="0" borderId="2" xfId="8" applyNumberFormat="1" applyFont="1" applyFill="1" applyBorder="1" applyAlignment="1">
      <alignment horizontal="center" vertical="center"/>
    </xf>
    <xf numFmtId="0" fontId="16" fillId="0" borderId="0" xfId="0" applyFont="1" applyFill="1" applyAlignment="1">
      <alignment vertical="center"/>
    </xf>
    <xf numFmtId="176" fontId="5" fillId="0" borderId="0" xfId="42" applyNumberFormat="1" applyFont="1" applyFill="1" applyBorder="1" applyAlignment="1">
      <alignment horizontal="right" vertical="top"/>
    </xf>
    <xf numFmtId="0" fontId="17" fillId="0" borderId="2" xfId="42" applyNumberFormat="1" applyFont="1" applyFill="1" applyBorder="1" applyAlignment="1">
      <alignment horizontal="center" vertical="center"/>
    </xf>
    <xf numFmtId="0" fontId="18" fillId="0" borderId="2" xfId="42" applyNumberFormat="1" applyFont="1" applyFill="1" applyBorder="1" applyAlignment="1">
      <alignment horizontal="center" vertical="center"/>
    </xf>
    <xf numFmtId="181" fontId="11" fillId="0" borderId="2" xfId="0" applyNumberFormat="1" applyFont="1" applyFill="1" applyBorder="1" applyAlignment="1">
      <alignment horizontal="center" vertical="center"/>
    </xf>
    <xf numFmtId="181" fontId="11" fillId="0" borderId="2" xfId="56" applyNumberFormat="1" applyFont="1" applyFill="1" applyBorder="1" applyAlignment="1">
      <alignment horizontal="center" vertical="center" wrapText="1"/>
    </xf>
    <xf numFmtId="180" fontId="11" fillId="0" borderId="2" xfId="42" applyNumberFormat="1" applyFont="1" applyFill="1" applyBorder="1" applyAlignment="1">
      <alignment horizontal="center"/>
    </xf>
    <xf numFmtId="176" fontId="11" fillId="0" borderId="2" xfId="42" applyNumberFormat="1" applyFont="1" applyFill="1" applyBorder="1" applyAlignment="1">
      <alignment horizontal="center"/>
    </xf>
    <xf numFmtId="181" fontId="11" fillId="0" borderId="2" xfId="48" applyNumberFormat="1" applyFont="1" applyFill="1" applyBorder="1" applyAlignment="1">
      <alignment horizontal="center" vertical="center" wrapText="1"/>
    </xf>
    <xf numFmtId="0" fontId="12" fillId="0" borderId="2" xfId="0" applyFont="1" applyFill="1" applyBorder="1" applyAlignment="1">
      <alignment horizontal="center" vertical="center"/>
    </xf>
    <xf numFmtId="181" fontId="12" fillId="0" borderId="2" xfId="0" applyNumberFormat="1" applyFont="1" applyFill="1" applyBorder="1" applyAlignment="1">
      <alignment horizontal="center" vertical="center"/>
    </xf>
    <xf numFmtId="0" fontId="12" fillId="0" borderId="2" xfId="42" applyNumberFormat="1" applyFont="1" applyFill="1" applyBorder="1" applyAlignment="1">
      <alignment horizontal="center" vertical="center"/>
    </xf>
    <xf numFmtId="183" fontId="12" fillId="0" borderId="2" xfId="42" applyNumberFormat="1" applyFont="1" applyFill="1" applyBorder="1" applyAlignment="1">
      <alignment horizontal="center" vertical="center"/>
    </xf>
    <xf numFmtId="181" fontId="12" fillId="0" borderId="2" xfId="56" applyNumberFormat="1" applyFont="1" applyFill="1" applyBorder="1" applyAlignment="1">
      <alignment horizontal="center" vertical="center" wrapText="1"/>
    </xf>
    <xf numFmtId="0" fontId="11" fillId="0" borderId="2" xfId="42" applyNumberFormat="1" applyFont="1" applyFill="1" applyBorder="1" applyAlignment="1">
      <alignment horizontal="center" vertical="center"/>
    </xf>
    <xf numFmtId="0" fontId="11" fillId="0" borderId="2" xfId="42" applyNumberFormat="1" applyFont="1" applyFill="1" applyBorder="1" applyAlignment="1">
      <alignment horizontal="center"/>
    </xf>
    <xf numFmtId="179" fontId="23" fillId="0" borderId="0" xfId="0" applyNumberFormat="1" applyFont="1" applyFill="1" applyAlignment="1">
      <alignment horizontal="center" vertical="center"/>
    </xf>
    <xf numFmtId="0" fontId="23" fillId="0" borderId="0" xfId="0" applyFont="1" applyFill="1" applyAlignment="1">
      <alignment horizontal="center" vertical="center"/>
    </xf>
    <xf numFmtId="178" fontId="16" fillId="0" borderId="0" xfId="0" applyNumberFormat="1" applyFont="1" applyFill="1" applyAlignment="1">
      <alignment vertical="center"/>
    </xf>
    <xf numFmtId="0" fontId="21" fillId="0" borderId="2" xfId="42"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79" fontId="21" fillId="0" borderId="2" xfId="0" applyNumberFormat="1" applyFont="1" applyFill="1" applyBorder="1" applyAlignment="1">
      <alignment horizontal="center" vertical="center" wrapText="1"/>
    </xf>
    <xf numFmtId="179" fontId="22" fillId="0" borderId="2" xfId="0" applyNumberFormat="1" applyFont="1" applyFill="1" applyBorder="1" applyAlignment="1">
      <alignment horizontal="center" vertical="center"/>
    </xf>
    <xf numFmtId="0" fontId="22" fillId="0" borderId="2" xfId="0" applyFont="1" applyFill="1" applyBorder="1" applyAlignment="1">
      <alignment horizontal="center" vertical="center"/>
    </xf>
    <xf numFmtId="176" fontId="12" fillId="0" borderId="2" xfId="0" applyNumberFormat="1" applyFont="1" applyFill="1" applyBorder="1" applyAlignment="1">
      <alignment horizontal="center" vertical="center" wrapText="1"/>
    </xf>
    <xf numFmtId="178" fontId="11" fillId="0" borderId="2" xfId="42" applyNumberFormat="1" applyFont="1" applyFill="1" applyBorder="1" applyAlignment="1">
      <alignment horizontal="center" vertical="center" wrapText="1"/>
    </xf>
    <xf numFmtId="0" fontId="11" fillId="0" borderId="2" xfId="42" applyNumberFormat="1" applyFont="1" applyFill="1" applyBorder="1" applyAlignment="1">
      <alignment horizontal="center" wrapText="1"/>
    </xf>
    <xf numFmtId="182" fontId="21" fillId="0" borderId="2" xfId="42" applyNumberFormat="1" applyFont="1" applyFill="1" applyBorder="1" applyAlignment="1">
      <alignment horizontal="center" vertical="center" wrapText="1"/>
    </xf>
    <xf numFmtId="0" fontId="21" fillId="0" borderId="2" xfId="0" applyFont="1" applyFill="1" applyBorder="1" applyAlignment="1">
      <alignment horizontal="center" vertical="center"/>
    </xf>
    <xf numFmtId="179" fontId="13"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184" fontId="12" fillId="0" borderId="2" xfId="42" applyNumberFormat="1" applyFont="1" applyFill="1" applyBorder="1" applyAlignment="1">
      <alignment horizontal="center" vertical="center"/>
    </xf>
    <xf numFmtId="176" fontId="16" fillId="0" borderId="0" xfId="0" applyNumberFormat="1" applyFont="1" applyFill="1" applyAlignment="1">
      <alignment vertical="center"/>
    </xf>
    <xf numFmtId="179" fontId="16" fillId="0" borderId="0" xfId="0" applyNumberFormat="1" applyFont="1" applyFill="1" applyAlignment="1">
      <alignment vertical="center"/>
    </xf>
    <xf numFmtId="179" fontId="21" fillId="0" borderId="2" xfId="42" applyNumberFormat="1" applyFont="1" applyFill="1" applyBorder="1" applyAlignment="1">
      <alignment horizontal="center" vertical="center" wrapText="1"/>
    </xf>
    <xf numFmtId="179" fontId="20" fillId="0" borderId="2" xfId="42" applyNumberFormat="1" applyFont="1" applyFill="1" applyBorder="1" applyAlignment="1">
      <alignment horizontal="center" vertical="center" wrapText="1"/>
    </xf>
    <xf numFmtId="179" fontId="20" fillId="0" borderId="2" xfId="0" applyNumberFormat="1" applyFont="1" applyFill="1" applyBorder="1" applyAlignment="1">
      <alignment horizontal="center" vertical="center" wrapText="1"/>
    </xf>
    <xf numFmtId="179" fontId="19" fillId="0" borderId="2" xfId="42" applyNumberFormat="1" applyFont="1" applyFill="1" applyBorder="1" applyAlignment="1">
      <alignment horizontal="center" vertical="center"/>
    </xf>
    <xf numFmtId="179" fontId="11" fillId="0" borderId="2" xfId="13" applyNumberFormat="1" applyFont="1" applyFill="1" applyBorder="1" applyAlignment="1">
      <alignment horizontal="center" vertical="center"/>
    </xf>
    <xf numFmtId="179" fontId="11" fillId="0" borderId="2" xfId="13" applyNumberFormat="1" applyFont="1" applyFill="1" applyBorder="1" applyAlignment="1">
      <alignment horizontal="center" vertical="center" wrapText="1"/>
    </xf>
    <xf numFmtId="179" fontId="11" fillId="0" borderId="2" xfId="42" applyNumberFormat="1" applyFont="1" applyFill="1" applyBorder="1" applyAlignment="1">
      <alignment horizontal="center" vertical="center"/>
    </xf>
    <xf numFmtId="179" fontId="11" fillId="0" borderId="2" xfId="42" applyNumberFormat="1" applyFont="1" applyFill="1" applyBorder="1" applyAlignment="1">
      <alignment horizontal="center"/>
    </xf>
    <xf numFmtId="179" fontId="12" fillId="0" borderId="2" xfId="42" applyNumberFormat="1" applyFont="1" applyFill="1" applyBorder="1" applyAlignment="1">
      <alignment horizontal="center"/>
    </xf>
    <xf numFmtId="178" fontId="12" fillId="0" borderId="2" xfId="42" applyNumberFormat="1" applyFont="1" applyFill="1" applyBorder="1" applyAlignment="1">
      <alignment horizontal="center"/>
    </xf>
    <xf numFmtId="176" fontId="12" fillId="0" borderId="2" xfId="42" applyNumberFormat="1" applyFont="1" applyFill="1" applyBorder="1" applyAlignment="1">
      <alignment horizontal="center"/>
    </xf>
    <xf numFmtId="179" fontId="19" fillId="0" borderId="2" xfId="42" applyNumberFormat="1" applyFont="1" applyFill="1" applyBorder="1" applyAlignment="1">
      <alignment horizontal="center"/>
    </xf>
    <xf numFmtId="179" fontId="11" fillId="0" borderId="2" xfId="60" applyNumberFormat="1" applyFont="1" applyFill="1" applyBorder="1" applyAlignment="1">
      <alignment horizontal="center" vertical="center"/>
    </xf>
    <xf numFmtId="179" fontId="11" fillId="0" borderId="2" xfId="0" applyNumberFormat="1" applyFont="1" applyFill="1" applyBorder="1" applyAlignment="1">
      <alignment horizontal="center" vertical="center"/>
    </xf>
    <xf numFmtId="0" fontId="16" fillId="0" borderId="0" xfId="0" applyFont="1" applyFill="1" applyAlignment="1">
      <alignment vertical="center" wrapText="1"/>
    </xf>
    <xf numFmtId="0" fontId="18" fillId="0" borderId="2" xfId="42" applyNumberFormat="1" applyFont="1" applyFill="1" applyBorder="1" applyAlignment="1">
      <alignment horizontal="center" vertical="center" wrapText="1"/>
    </xf>
    <xf numFmtId="179" fontId="20" fillId="0" borderId="2" xfId="20" applyNumberFormat="1" applyFont="1" applyFill="1" applyBorder="1" applyAlignment="1">
      <alignment horizontal="center" vertical="center" wrapText="1"/>
    </xf>
    <xf numFmtId="178" fontId="24" fillId="0" borderId="2" xfId="0" applyNumberFormat="1" applyFont="1" applyFill="1" applyBorder="1" applyAlignment="1">
      <alignment horizontal="left" vertical="center" wrapText="1"/>
    </xf>
    <xf numFmtId="176" fontId="23" fillId="0" borderId="2" xfId="42" applyNumberFormat="1" applyFont="1" applyFill="1" applyBorder="1" applyAlignment="1">
      <alignment horizontal="center" vertical="center" wrapText="1"/>
    </xf>
    <xf numFmtId="178" fontId="19" fillId="0" borderId="2" xfId="42" applyNumberFormat="1" applyFont="1" applyFill="1" applyBorder="1" applyAlignment="1">
      <alignment horizontal="center" vertical="center"/>
    </xf>
    <xf numFmtId="176" fontId="19" fillId="0" borderId="2" xfId="42" applyNumberFormat="1" applyFont="1" applyFill="1" applyBorder="1" applyAlignment="1">
      <alignment horizontal="center" vertical="center"/>
    </xf>
    <xf numFmtId="0" fontId="12" fillId="0" borderId="2" xfId="42" applyNumberFormat="1" applyFont="1" applyFill="1" applyBorder="1" applyAlignment="1">
      <alignment horizontal="center" vertical="center" wrapText="1"/>
    </xf>
    <xf numFmtId="178" fontId="19" fillId="0" borderId="2" xfId="42" applyNumberFormat="1" applyFont="1" applyFill="1" applyBorder="1" applyAlignment="1">
      <alignment horizontal="center" vertical="center" wrapText="1"/>
    </xf>
    <xf numFmtId="179" fontId="11" fillId="0" borderId="2" xfId="42" applyNumberFormat="1" applyFont="1" applyFill="1" applyBorder="1" applyAlignment="1">
      <alignment horizontal="center" vertical="center" wrapText="1"/>
    </xf>
    <xf numFmtId="181" fontId="13" fillId="0" borderId="0" xfId="42" applyNumberFormat="1" applyFont="1" applyFill="1" applyBorder="1" applyAlignment="1">
      <alignment horizontal="center"/>
    </xf>
    <xf numFmtId="0" fontId="16" fillId="0" borderId="0" xfId="0" applyNumberFormat="1" applyFont="1" applyFill="1" applyAlignment="1">
      <alignment vertical="center"/>
    </xf>
    <xf numFmtId="0" fontId="25" fillId="0" borderId="2" xfId="42" applyNumberFormat="1" applyFont="1" applyFill="1" applyBorder="1" applyAlignment="1">
      <alignment horizontal="left" vertical="center" wrapText="1"/>
    </xf>
    <xf numFmtId="0" fontId="12" fillId="0" borderId="2" xfId="8" applyNumberFormat="1" applyFont="1" applyFill="1" applyBorder="1" applyAlignment="1">
      <alignment horizontal="center" vertical="center"/>
    </xf>
    <xf numFmtId="176" fontId="23" fillId="0" borderId="0" xfId="0" applyNumberFormat="1" applyFont="1" applyFill="1" applyAlignment="1">
      <alignment horizontal="center" vertical="center"/>
    </xf>
    <xf numFmtId="0" fontId="16" fillId="0" borderId="0" xfId="0" applyNumberFormat="1" applyFont="1" applyFill="1" applyBorder="1" applyAlignment="1">
      <alignment horizontal="center" vertical="center"/>
    </xf>
    <xf numFmtId="176" fontId="21" fillId="0" borderId="2" xfId="8" applyNumberFormat="1" applyFont="1" applyFill="1" applyBorder="1" applyAlignment="1">
      <alignment horizontal="center" vertical="center" wrapText="1"/>
    </xf>
    <xf numFmtId="176" fontId="13" fillId="0" borderId="2" xfId="8" applyNumberFormat="1" applyFont="1" applyFill="1" applyBorder="1" applyAlignment="1">
      <alignment horizontal="center" vertical="center" wrapText="1"/>
    </xf>
    <xf numFmtId="176" fontId="12" fillId="0" borderId="2" xfId="8" applyNumberFormat="1" applyFont="1" applyFill="1" applyBorder="1" applyAlignment="1">
      <alignment horizontal="center" vertical="center" wrapText="1"/>
    </xf>
    <xf numFmtId="181" fontId="12" fillId="0" borderId="2" xfId="8" applyNumberFormat="1" applyFont="1" applyFill="1" applyBorder="1" applyAlignment="1">
      <alignment horizontal="center" vertical="center"/>
    </xf>
    <xf numFmtId="179" fontId="12" fillId="0" borderId="2" xfId="42" applyNumberFormat="1" applyFont="1" applyFill="1" applyBorder="1" applyAlignment="1">
      <alignment horizontal="center" vertical="center" wrapText="1"/>
    </xf>
    <xf numFmtId="0" fontId="11" fillId="0" borderId="2" xfId="8" applyNumberFormat="1" applyFont="1" applyFill="1" applyBorder="1" applyAlignment="1">
      <alignment horizontal="center" vertical="center"/>
    </xf>
    <xf numFmtId="179" fontId="11" fillId="0" borderId="2" xfId="8" applyNumberFormat="1" applyFont="1" applyFill="1" applyBorder="1" applyAlignment="1">
      <alignment horizontal="center" vertical="center"/>
    </xf>
    <xf numFmtId="176" fontId="11" fillId="0" borderId="2" xfId="8" applyNumberFormat="1" applyFont="1" applyFill="1" applyBorder="1" applyAlignment="1">
      <alignment horizontal="center" vertical="center" wrapText="1"/>
    </xf>
    <xf numFmtId="179" fontId="11" fillId="0" borderId="2" xfId="63" applyNumberFormat="1" applyFont="1" applyFill="1" applyBorder="1" applyAlignment="1">
      <alignment horizontal="center" vertical="center" wrapText="1"/>
    </xf>
    <xf numFmtId="0" fontId="12" fillId="0" borderId="2" xfId="56" applyNumberFormat="1" applyFont="1" applyFill="1" applyBorder="1" applyAlignment="1">
      <alignment horizontal="center" vertical="center" wrapText="1"/>
    </xf>
    <xf numFmtId="181" fontId="19" fillId="0" borderId="2" xfId="8" applyNumberFormat="1" applyFont="1" applyFill="1" applyBorder="1" applyAlignment="1">
      <alignment horizontal="center" vertical="center" wrapText="1"/>
    </xf>
    <xf numFmtId="178" fontId="21" fillId="0" borderId="2" xfId="8" applyNumberFormat="1" applyFont="1" applyFill="1" applyBorder="1" applyAlignment="1">
      <alignment horizontal="center" vertical="center" wrapText="1"/>
    </xf>
    <xf numFmtId="181" fontId="23" fillId="0" borderId="2" xfId="8" applyNumberFormat="1" applyFont="1" applyFill="1" applyBorder="1" applyAlignment="1">
      <alignment vertical="center" wrapText="1"/>
    </xf>
    <xf numFmtId="179" fontId="11" fillId="0" borderId="2" xfId="58" applyNumberFormat="1" applyFont="1" applyFill="1" applyBorder="1" applyAlignment="1">
      <alignment horizontal="center" vertical="center" wrapText="1"/>
    </xf>
    <xf numFmtId="181" fontId="11" fillId="0" borderId="2" xfId="8" applyNumberFormat="1" applyFont="1" applyFill="1" applyBorder="1" applyAlignment="1">
      <alignment horizontal="center" vertical="center" wrapText="1"/>
    </xf>
    <xf numFmtId="178" fontId="11" fillId="0" borderId="2" xfId="8" applyNumberFormat="1" applyFont="1" applyFill="1" applyBorder="1" applyAlignment="1">
      <alignment horizontal="center" vertical="center" wrapText="1"/>
    </xf>
    <xf numFmtId="0" fontId="11" fillId="0" borderId="2" xfId="42" applyNumberFormat="1" applyFont="1" applyFill="1" applyBorder="1" applyAlignment="1">
      <alignment vertical="center" wrapText="1"/>
    </xf>
    <xf numFmtId="181" fontId="12" fillId="0" borderId="2" xfId="8" applyNumberFormat="1" applyFont="1" applyFill="1" applyBorder="1" applyAlignment="1">
      <alignment horizontal="center" vertical="center" wrapText="1"/>
    </xf>
    <xf numFmtId="178" fontId="12" fillId="0" borderId="2" xfId="8" applyNumberFormat="1" applyFont="1" applyFill="1" applyBorder="1" applyAlignment="1">
      <alignment horizontal="center" vertical="center" wrapText="1"/>
    </xf>
    <xf numFmtId="0" fontId="12" fillId="0" borderId="2" xfId="42" applyNumberFormat="1" applyFont="1" applyFill="1" applyBorder="1" applyAlignment="1">
      <alignment vertical="center"/>
    </xf>
    <xf numFmtId="0" fontId="11" fillId="0" borderId="2" xfId="42" applyNumberFormat="1" applyFont="1" applyFill="1" applyBorder="1" applyAlignment="1">
      <alignment vertical="center"/>
    </xf>
    <xf numFmtId="0" fontId="11" fillId="0" borderId="2" xfId="42" applyNumberFormat="1" applyFont="1" applyFill="1" applyBorder="1" applyAlignment="1"/>
    <xf numFmtId="176" fontId="13" fillId="0" borderId="0" xfId="0" applyNumberFormat="1" applyFont="1" applyFill="1" applyAlignment="1">
      <alignment horizontal="right" vertical="center"/>
    </xf>
    <xf numFmtId="176" fontId="17" fillId="0" borderId="2" xfId="0" applyNumberFormat="1" applyFont="1" applyFill="1" applyBorder="1" applyAlignment="1">
      <alignment horizontal="center" vertical="center" wrapText="1"/>
    </xf>
    <xf numFmtId="176" fontId="19" fillId="0" borderId="2"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2" fillId="2" borderId="0" xfId="0" applyFont="1" applyFill="1">
      <alignment vertical="center"/>
    </xf>
    <xf numFmtId="0" fontId="12" fillId="3" borderId="0" xfId="0" applyFont="1" applyFill="1">
      <alignment vertical="center"/>
    </xf>
    <xf numFmtId="0" fontId="11" fillId="0" borderId="2" xfId="0" applyFont="1" applyFill="1" applyBorder="1">
      <alignment vertical="center"/>
    </xf>
    <xf numFmtId="0" fontId="13" fillId="0" borderId="0" xfId="0" applyFont="1" applyFill="1" applyAlignment="1">
      <alignment horizontal="left" vertical="center" wrapText="1"/>
    </xf>
    <xf numFmtId="0" fontId="13" fillId="0" borderId="0" xfId="0" applyFont="1" applyFill="1" applyAlignment="1">
      <alignment vertical="center" wrapText="1"/>
    </xf>
    <xf numFmtId="179" fontId="11" fillId="0" borderId="2" xfId="56" applyNumberFormat="1" applyFont="1" applyFill="1" applyBorder="1" applyAlignment="1">
      <alignment horizontal="center" vertical="center"/>
    </xf>
    <xf numFmtId="0" fontId="26" fillId="0" borderId="0" xfId="0" applyFont="1" applyFill="1">
      <alignment vertical="center"/>
    </xf>
    <xf numFmtId="0" fontId="27" fillId="0" borderId="0" xfId="0" applyFont="1" applyFill="1" applyAlignment="1">
      <alignment horizontal="center" vertical="center"/>
    </xf>
    <xf numFmtId="176" fontId="27" fillId="0" borderId="0" xfId="0" applyNumberFormat="1" applyFont="1" applyFill="1" applyAlignment="1">
      <alignment horizontal="center" vertical="center"/>
    </xf>
    <xf numFmtId="0" fontId="27" fillId="0" borderId="0" xfId="0" applyFont="1" applyFill="1">
      <alignment vertical="center"/>
    </xf>
    <xf numFmtId="0" fontId="6" fillId="0" borderId="0" xfId="0" applyFont="1" applyFill="1" applyAlignment="1">
      <alignment horizontal="left"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176" fontId="10" fillId="0" borderId="0" xfId="0" applyNumberFormat="1" applyFont="1" applyFill="1" applyAlignment="1">
      <alignment horizontal="center" vertical="center"/>
    </xf>
    <xf numFmtId="0" fontId="17" fillId="0" borderId="2" xfId="0" applyFont="1" applyFill="1" applyBorder="1" applyAlignment="1">
      <alignment horizontal="center" vertical="center" wrapText="1"/>
    </xf>
    <xf numFmtId="176" fontId="17" fillId="0" borderId="2" xfId="0" applyNumberFormat="1"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xf>
    <xf numFmtId="176" fontId="18" fillId="0" borderId="2" xfId="0" applyNumberFormat="1" applyFont="1" applyFill="1" applyBorder="1" applyAlignment="1">
      <alignment horizontal="center" vertical="center"/>
    </xf>
    <xf numFmtId="43" fontId="17" fillId="0" borderId="2" xfId="8" applyFont="1" applyFill="1" applyBorder="1" applyAlignment="1">
      <alignment horizontal="center" vertical="center" wrapText="1"/>
    </xf>
    <xf numFmtId="43" fontId="5" fillId="0" borderId="2" xfId="8"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30" fillId="0" borderId="0" xfId="0" applyFont="1" applyFill="1" applyBorder="1" applyAlignment="1">
      <alignment horizontal="left" vertical="top" wrapText="1"/>
    </xf>
    <xf numFmtId="176" fontId="31" fillId="0" borderId="0" xfId="0" applyNumberFormat="1" applyFont="1" applyFill="1" applyAlignment="1">
      <alignment horizontal="center" vertical="center"/>
    </xf>
    <xf numFmtId="0" fontId="17" fillId="0" borderId="2" xfId="0" applyFont="1" applyFill="1" applyBorder="1" applyAlignment="1">
      <alignment vertical="center" wrapText="1"/>
    </xf>
    <xf numFmtId="0" fontId="1" fillId="0" borderId="2" xfId="0" applyFont="1" applyFill="1" applyBorder="1">
      <alignment vertical="center"/>
    </xf>
    <xf numFmtId="0" fontId="27" fillId="0" borderId="2" xfId="0" applyFont="1" applyFill="1" applyBorder="1" applyAlignment="1">
      <alignment horizontal="center" vertical="center"/>
    </xf>
    <xf numFmtId="0" fontId="8" fillId="0" borderId="0" xfId="0" applyFont="1" applyFill="1" applyAlignment="1">
      <alignment vertical="center"/>
    </xf>
    <xf numFmtId="0" fontId="32" fillId="0" borderId="0" xfId="0" applyFont="1" applyFill="1" applyAlignment="1">
      <alignment horizontal="center" vertical="center" wrapText="1"/>
    </xf>
    <xf numFmtId="0" fontId="8" fillId="0" borderId="0" xfId="0" applyFont="1" applyFill="1" applyAlignment="1">
      <alignment horizontal="center" vertical="center"/>
    </xf>
    <xf numFmtId="0" fontId="33" fillId="0" borderId="0" xfId="0" applyFont="1" applyFill="1">
      <alignment vertical="center"/>
    </xf>
    <xf numFmtId="0" fontId="34" fillId="0" borderId="0" xfId="0" applyFont="1" applyFill="1" applyAlignment="1">
      <alignment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horizontal="right" vertical="center"/>
    </xf>
    <xf numFmtId="0" fontId="38" fillId="0" borderId="0" xfId="0" applyFont="1" applyFill="1" applyAlignment="1">
      <alignment horizontal="right" vertical="center"/>
    </xf>
    <xf numFmtId="0" fontId="32" fillId="0" borderId="2" xfId="0" applyFont="1" applyFill="1" applyBorder="1" applyAlignment="1">
      <alignment horizontal="center" vertical="center" wrapText="1"/>
    </xf>
    <xf numFmtId="0" fontId="39" fillId="0" borderId="2" xfId="0" applyFont="1" applyFill="1" applyBorder="1" applyAlignment="1">
      <alignment horizontal="center" vertical="center"/>
    </xf>
    <xf numFmtId="182" fontId="39"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40" fillId="0" borderId="2" xfId="0" applyFont="1" applyFill="1" applyBorder="1" applyAlignment="1">
      <alignment horizontal="center" vertical="center"/>
    </xf>
    <xf numFmtId="176" fontId="41" fillId="0" borderId="2" xfId="0" applyNumberFormat="1" applyFont="1" applyFill="1" applyBorder="1" applyAlignment="1">
      <alignment horizontal="center" vertical="center"/>
    </xf>
    <xf numFmtId="0" fontId="40" fillId="0" borderId="2"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3" fillId="0" borderId="2" xfId="0" applyFont="1" applyFill="1" applyBorder="1" applyAlignment="1">
      <alignment horizontal="center" vertical="center"/>
    </xf>
    <xf numFmtId="43" fontId="26" fillId="0" borderId="2" xfId="8" applyFont="1" applyFill="1" applyBorder="1" applyAlignment="1">
      <alignment horizontal="center" vertical="center" wrapText="1"/>
    </xf>
    <xf numFmtId="43" fontId="27" fillId="0" borderId="2" xfId="8" applyFont="1" applyFill="1" applyBorder="1" applyAlignment="1">
      <alignment horizontal="center" vertical="center" wrapText="1"/>
    </xf>
    <xf numFmtId="182" fontId="8" fillId="0" borderId="2" xfId="0" applyNumberFormat="1" applyFont="1" applyFill="1" applyBorder="1" applyAlignment="1">
      <alignment horizontal="center" vertical="center"/>
    </xf>
    <xf numFmtId="176" fontId="33" fillId="0" borderId="2" xfId="0" applyNumberFormat="1"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附件2-1-2-3-5" xfId="13"/>
    <cellStyle name="注释" xfId="14" builtinId="10"/>
    <cellStyle name="60% - 强调文字颜色 2" xfId="15" builtinId="36"/>
    <cellStyle name="标题 4" xfId="16" builtinId="19"/>
    <cellStyle name="警告文本" xfId="17" builtinId="11"/>
    <cellStyle name="标题" xfId="18" builtinId="15"/>
    <cellStyle name="常规 3 2 2"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38" xfId="40"/>
    <cellStyle name="20% - 强调文字颜色 2" xfId="41" builtinId="34"/>
    <cellStyle name="常规_测算表" xfId="42"/>
    <cellStyle name="40% - 强调文字颜色 2" xfId="43" builtinId="35"/>
    <cellStyle name="强调文字颜色 3" xfId="44" builtinId="37"/>
    <cellStyle name="常规 3 2" xfId="45"/>
    <cellStyle name="强调文字颜色 4" xfId="46" builtinId="41"/>
    <cellStyle name="20% - 强调文字颜色 4" xfId="47" builtinId="42"/>
    <cellStyle name="常规 4 5 2" xfId="48"/>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Sheet1" xfId="56"/>
    <cellStyle name="常规 17" xfId="57"/>
    <cellStyle name="常规_2016省工作量 2" xfId="58"/>
    <cellStyle name="常规 11 3 2" xfId="59"/>
    <cellStyle name="百分比_附件2-1-2-3-5" xfId="60"/>
    <cellStyle name="常规 18" xfId="61"/>
    <cellStyle name="千位分隔 2" xfId="62"/>
    <cellStyle name="常规_Sheet1_附件2-1-2-3-10 2" xfId="63"/>
    <cellStyle name="常规 5" xfId="64"/>
    <cellStyle name="常规 2 2" xfId="65"/>
    <cellStyle name="常规 3" xfId="66"/>
    <cellStyle name="常规 2" xfId="6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82"/>
  <sheetViews>
    <sheetView view="pageBreakPreview" zoomScaleNormal="100" workbookViewId="0">
      <selection activeCell="B8" sqref="B8"/>
    </sheetView>
  </sheetViews>
  <sheetFormatPr defaultColWidth="9" defaultRowHeight="15" outlineLevelCol="4"/>
  <cols>
    <col min="1" max="1" width="27.775" style="236" customWidth="1"/>
    <col min="2" max="2" width="13.8833333333333" style="236" customWidth="1"/>
    <col min="3" max="3" width="13.4416666666667" style="238" customWidth="1"/>
    <col min="4" max="4" width="19.775" style="238" customWidth="1"/>
    <col min="5" max="5" width="13.6666666666667" style="238" customWidth="1"/>
    <col min="6" max="16373" width="9" style="236"/>
    <col min="16374" max="16384" width="9" style="239"/>
  </cols>
  <sheetData>
    <row r="1" s="236" customFormat="1" ht="19.95" customHeight="1" spans="1:5">
      <c r="A1" s="240" t="s">
        <v>0</v>
      </c>
      <c r="C1" s="238"/>
      <c r="D1" s="238"/>
      <c r="E1" s="238"/>
    </row>
    <row r="2" s="236" customFormat="1" ht="20.25" spans="1:5">
      <c r="A2" s="241" t="s">
        <v>1</v>
      </c>
      <c r="B2" s="241"/>
      <c r="C2" s="241"/>
      <c r="D2" s="241"/>
      <c r="E2" s="241"/>
    </row>
    <row r="3" s="236" customFormat="1" customHeight="1" spans="1:5">
      <c r="A3" s="242"/>
      <c r="B3" s="243"/>
      <c r="C3" s="238"/>
      <c r="D3" s="238"/>
      <c r="E3" s="244" t="s">
        <v>2</v>
      </c>
    </row>
    <row r="4" s="237" customFormat="1" ht="31.95" customHeight="1" spans="1:5">
      <c r="A4" s="245" t="s">
        <v>3</v>
      </c>
      <c r="B4" s="245" t="s">
        <v>4</v>
      </c>
      <c r="C4" s="245" t="s">
        <v>5</v>
      </c>
      <c r="D4" s="245" t="s">
        <v>6</v>
      </c>
      <c r="E4" s="245" t="s">
        <v>7</v>
      </c>
    </row>
    <row r="5" s="236" customFormat="1" ht="22.05" customHeight="1" spans="1:5">
      <c r="A5" s="246" t="s">
        <v>8</v>
      </c>
      <c r="B5" s="247">
        <f>SUM(B6,B26,B47)</f>
        <v>16200</v>
      </c>
      <c r="C5" s="248"/>
      <c r="D5" s="248"/>
      <c r="E5" s="248"/>
    </row>
    <row r="6" s="236" customFormat="1" ht="22.05" customHeight="1" spans="1:5">
      <c r="A6" s="246" t="s">
        <v>9</v>
      </c>
      <c r="B6" s="247">
        <f>SUM(B7:B25)</f>
        <v>6927.25</v>
      </c>
      <c r="C6" s="248"/>
      <c r="D6" s="248"/>
      <c r="E6" s="248"/>
    </row>
    <row r="7" s="236" customFormat="1" ht="22.05" customHeight="1" spans="1:5">
      <c r="A7" s="249" t="s">
        <v>10</v>
      </c>
      <c r="B7" s="250">
        <v>3996.88</v>
      </c>
      <c r="C7" s="248">
        <v>2100499</v>
      </c>
      <c r="D7" s="248">
        <v>50502</v>
      </c>
      <c r="E7" s="248">
        <v>30299</v>
      </c>
    </row>
    <row r="8" s="236" customFormat="1" ht="22.05" customHeight="1" spans="1:5">
      <c r="A8" s="249" t="s">
        <v>11</v>
      </c>
      <c r="B8" s="250">
        <v>40</v>
      </c>
      <c r="C8" s="248">
        <v>2100499</v>
      </c>
      <c r="D8" s="248">
        <v>50502</v>
      </c>
      <c r="E8" s="248">
        <v>30299</v>
      </c>
    </row>
    <row r="9" s="236" customFormat="1" ht="22.05" customHeight="1" spans="1:5">
      <c r="A9" s="249" t="s">
        <v>12</v>
      </c>
      <c r="B9" s="250">
        <v>850</v>
      </c>
      <c r="C9" s="248">
        <v>2100499</v>
      </c>
      <c r="D9" s="248">
        <v>50502</v>
      </c>
      <c r="E9" s="248">
        <v>30299</v>
      </c>
    </row>
    <row r="10" s="236" customFormat="1" ht="22.05" customHeight="1" spans="1:5">
      <c r="A10" s="249" t="s">
        <v>13</v>
      </c>
      <c r="B10" s="250">
        <v>90</v>
      </c>
      <c r="C10" s="248">
        <v>2100499</v>
      </c>
      <c r="D10" s="248">
        <v>50502</v>
      </c>
      <c r="E10" s="248">
        <v>30299</v>
      </c>
    </row>
    <row r="11" s="236" customFormat="1" ht="22.05" customHeight="1" spans="1:5">
      <c r="A11" s="249" t="s">
        <v>14</v>
      </c>
      <c r="B11" s="250">
        <v>448.6</v>
      </c>
      <c r="C11" s="248">
        <v>2100499</v>
      </c>
      <c r="D11" s="248">
        <v>50502</v>
      </c>
      <c r="E11" s="248">
        <v>30299</v>
      </c>
    </row>
    <row r="12" s="236" customFormat="1" ht="22.05" customHeight="1" spans="1:5">
      <c r="A12" s="251" t="s">
        <v>15</v>
      </c>
      <c r="B12" s="250">
        <v>60</v>
      </c>
      <c r="C12" s="248">
        <v>2100499</v>
      </c>
      <c r="D12" s="248">
        <v>50502</v>
      </c>
      <c r="E12" s="248">
        <v>30299</v>
      </c>
    </row>
    <row r="13" s="236" customFormat="1" ht="22.05" customHeight="1" spans="1:5">
      <c r="A13" s="249" t="s">
        <v>16</v>
      </c>
      <c r="B13" s="250">
        <v>1.2</v>
      </c>
      <c r="C13" s="248">
        <v>2100499</v>
      </c>
      <c r="D13" s="248">
        <v>50502</v>
      </c>
      <c r="E13" s="248">
        <v>30299</v>
      </c>
    </row>
    <row r="14" s="236" customFormat="1" ht="22.05" customHeight="1" spans="1:5">
      <c r="A14" s="249" t="s">
        <v>17</v>
      </c>
      <c r="B14" s="250">
        <v>1.2</v>
      </c>
      <c r="C14" s="248">
        <v>2100499</v>
      </c>
      <c r="D14" s="248">
        <v>50502</v>
      </c>
      <c r="E14" s="248">
        <v>30299</v>
      </c>
    </row>
    <row r="15" s="236" customFormat="1" ht="22.05" customHeight="1" spans="1:5">
      <c r="A15" s="249" t="s">
        <v>18</v>
      </c>
      <c r="B15" s="250">
        <v>4.5</v>
      </c>
      <c r="C15" s="248">
        <v>2100499</v>
      </c>
      <c r="D15" s="248">
        <v>50502</v>
      </c>
      <c r="E15" s="248">
        <v>30299</v>
      </c>
    </row>
    <row r="16" s="236" customFormat="1" ht="22.05" customHeight="1" spans="1:5">
      <c r="A16" s="249" t="s">
        <v>19</v>
      </c>
      <c r="B16" s="250">
        <v>1.98</v>
      </c>
      <c r="C16" s="248">
        <v>2100499</v>
      </c>
      <c r="D16" s="248">
        <v>50502</v>
      </c>
      <c r="E16" s="248">
        <v>30299</v>
      </c>
    </row>
    <row r="17" s="236" customFormat="1" ht="22.05" customHeight="1" spans="1:5">
      <c r="A17" s="249" t="s">
        <v>20</v>
      </c>
      <c r="B17" s="250">
        <v>337.75</v>
      </c>
      <c r="C17" s="248">
        <v>2100499</v>
      </c>
      <c r="D17" s="248">
        <v>50502</v>
      </c>
      <c r="E17" s="248">
        <v>30299</v>
      </c>
    </row>
    <row r="18" s="236" customFormat="1" ht="22.05" customHeight="1" spans="1:5">
      <c r="A18" s="249" t="s">
        <v>21</v>
      </c>
      <c r="B18" s="250">
        <v>130</v>
      </c>
      <c r="C18" s="248">
        <v>2100499</v>
      </c>
      <c r="D18" s="248">
        <v>50502</v>
      </c>
      <c r="E18" s="248">
        <v>30299</v>
      </c>
    </row>
    <row r="19" s="236" customFormat="1" ht="22.05" customHeight="1" spans="1:5">
      <c r="A19" s="249" t="s">
        <v>22</v>
      </c>
      <c r="B19" s="250">
        <v>300</v>
      </c>
      <c r="C19" s="248">
        <v>2100499</v>
      </c>
      <c r="D19" s="248">
        <v>50502</v>
      </c>
      <c r="E19" s="248">
        <v>30299</v>
      </c>
    </row>
    <row r="20" s="236" customFormat="1" ht="22.05" customHeight="1" spans="1:5">
      <c r="A20" s="252" t="s">
        <v>23</v>
      </c>
      <c r="B20" s="250">
        <v>100.5</v>
      </c>
      <c r="C20" s="248">
        <v>2100499</v>
      </c>
      <c r="D20" s="248">
        <v>50502</v>
      </c>
      <c r="E20" s="248">
        <v>30299</v>
      </c>
    </row>
    <row r="21" s="236" customFormat="1" ht="22.05" customHeight="1" spans="1:5">
      <c r="A21" s="249" t="s">
        <v>24</v>
      </c>
      <c r="B21" s="250">
        <v>25</v>
      </c>
      <c r="C21" s="248">
        <v>2100499</v>
      </c>
      <c r="D21" s="248">
        <v>50502</v>
      </c>
      <c r="E21" s="248">
        <v>30299</v>
      </c>
    </row>
    <row r="22" s="236" customFormat="1" ht="22.05" customHeight="1" spans="1:5">
      <c r="A22" s="249" t="s">
        <v>25</v>
      </c>
      <c r="B22" s="250">
        <v>274.14</v>
      </c>
      <c r="C22" s="248">
        <v>2100499</v>
      </c>
      <c r="D22" s="248">
        <v>50502</v>
      </c>
      <c r="E22" s="248">
        <v>30299</v>
      </c>
    </row>
    <row r="23" s="236" customFormat="1" ht="22.05" customHeight="1" spans="1:5">
      <c r="A23" s="249" t="s">
        <v>26</v>
      </c>
      <c r="B23" s="250">
        <v>198</v>
      </c>
      <c r="C23" s="248">
        <v>2100499</v>
      </c>
      <c r="D23" s="248">
        <v>50502</v>
      </c>
      <c r="E23" s="248">
        <v>30299</v>
      </c>
    </row>
    <row r="24" s="236" customFormat="1" ht="22.05" customHeight="1" spans="1:5">
      <c r="A24" s="249" t="s">
        <v>27</v>
      </c>
      <c r="B24" s="250">
        <v>20</v>
      </c>
      <c r="C24" s="248">
        <v>2100499</v>
      </c>
      <c r="D24" s="248">
        <v>50502</v>
      </c>
      <c r="E24" s="248">
        <v>30299</v>
      </c>
    </row>
    <row r="25" s="236" customFormat="1" ht="22.05" customHeight="1" spans="1:5">
      <c r="A25" s="253" t="s">
        <v>28</v>
      </c>
      <c r="B25" s="250">
        <v>47.5</v>
      </c>
      <c r="C25" s="248">
        <v>2100499</v>
      </c>
      <c r="D25" s="248">
        <v>50502</v>
      </c>
      <c r="E25" s="248">
        <v>30299</v>
      </c>
    </row>
    <row r="26" s="236" customFormat="1" ht="22.05" customHeight="1" spans="1:5">
      <c r="A26" s="254" t="s">
        <v>29</v>
      </c>
      <c r="B26" s="247">
        <f>SUM(B27:B46)</f>
        <v>7285.78</v>
      </c>
      <c r="C26" s="248"/>
      <c r="D26" s="248"/>
      <c r="E26" s="248"/>
    </row>
    <row r="27" s="236" customFormat="1" ht="22.05" customHeight="1" spans="1:5">
      <c r="A27" s="255" t="s">
        <v>30</v>
      </c>
      <c r="B27" s="256">
        <v>626.24</v>
      </c>
      <c r="C27" s="248">
        <v>2100499</v>
      </c>
      <c r="D27" s="248">
        <v>51301</v>
      </c>
      <c r="E27" s="248"/>
    </row>
    <row r="28" s="236" customFormat="1" ht="22.05" customHeight="1" spans="1:5">
      <c r="A28" s="255" t="s">
        <v>31</v>
      </c>
      <c r="B28" s="256">
        <v>101.95</v>
      </c>
      <c r="C28" s="248">
        <v>2100499</v>
      </c>
      <c r="D28" s="248">
        <v>51301</v>
      </c>
      <c r="E28" s="248"/>
    </row>
    <row r="29" s="236" customFormat="1" ht="22.05" customHeight="1" spans="1:5">
      <c r="A29" s="255" t="s">
        <v>32</v>
      </c>
      <c r="B29" s="256">
        <v>613.44</v>
      </c>
      <c r="C29" s="248">
        <v>2100499</v>
      </c>
      <c r="D29" s="248">
        <v>51301</v>
      </c>
      <c r="E29" s="248"/>
    </row>
    <row r="30" s="236" customFormat="1" ht="22.05" customHeight="1" spans="1:5">
      <c r="A30" s="255" t="s">
        <v>33</v>
      </c>
      <c r="B30" s="256">
        <v>237.94</v>
      </c>
      <c r="C30" s="248">
        <v>2100499</v>
      </c>
      <c r="D30" s="248">
        <v>51301</v>
      </c>
      <c r="E30" s="248"/>
    </row>
    <row r="31" s="236" customFormat="1" ht="22.05" customHeight="1" spans="1:5">
      <c r="A31" s="255" t="s">
        <v>34</v>
      </c>
      <c r="B31" s="256">
        <v>416.44</v>
      </c>
      <c r="C31" s="248">
        <v>2100499</v>
      </c>
      <c r="D31" s="248">
        <v>51301</v>
      </c>
      <c r="E31" s="248"/>
    </row>
    <row r="32" s="236" customFormat="1" ht="22.05" customHeight="1" spans="1:5">
      <c r="A32" s="255" t="s">
        <v>35</v>
      </c>
      <c r="B32" s="256">
        <v>289.2</v>
      </c>
      <c r="C32" s="248">
        <v>2100499</v>
      </c>
      <c r="D32" s="248">
        <v>51301</v>
      </c>
      <c r="E32" s="248"/>
    </row>
    <row r="33" s="236" customFormat="1" ht="22.05" customHeight="1" spans="1:5">
      <c r="A33" s="255" t="s">
        <v>36</v>
      </c>
      <c r="B33" s="256">
        <v>460.56</v>
      </c>
      <c r="C33" s="248">
        <v>2100499</v>
      </c>
      <c r="D33" s="248">
        <v>51301</v>
      </c>
      <c r="E33" s="248"/>
    </row>
    <row r="34" s="236" customFormat="1" ht="22.05" customHeight="1" spans="1:5">
      <c r="A34" s="255" t="s">
        <v>37</v>
      </c>
      <c r="B34" s="256">
        <v>481.93</v>
      </c>
      <c r="C34" s="248">
        <v>2100499</v>
      </c>
      <c r="D34" s="248">
        <v>51301</v>
      </c>
      <c r="E34" s="248"/>
    </row>
    <row r="35" s="236" customFormat="1" ht="22.05" customHeight="1" spans="1:5">
      <c r="A35" s="255" t="s">
        <v>38</v>
      </c>
      <c r="B35" s="256">
        <v>166.11</v>
      </c>
      <c r="C35" s="248">
        <v>2100499</v>
      </c>
      <c r="D35" s="248">
        <v>51301</v>
      </c>
      <c r="E35" s="248"/>
    </row>
    <row r="36" s="236" customFormat="1" ht="22.05" customHeight="1" spans="1:5">
      <c r="A36" s="255" t="s">
        <v>39</v>
      </c>
      <c r="B36" s="256">
        <v>229.05</v>
      </c>
      <c r="C36" s="248">
        <v>2100499</v>
      </c>
      <c r="D36" s="248">
        <v>51301</v>
      </c>
      <c r="E36" s="248"/>
    </row>
    <row r="37" s="236" customFormat="1" ht="22.05" customHeight="1" spans="1:5">
      <c r="A37" s="255" t="s">
        <v>40</v>
      </c>
      <c r="B37" s="256">
        <v>130.51</v>
      </c>
      <c r="C37" s="248">
        <v>2100499</v>
      </c>
      <c r="D37" s="248">
        <v>51301</v>
      </c>
      <c r="E37" s="248"/>
    </row>
    <row r="38" s="236" customFormat="1" ht="22.05" customHeight="1" spans="1:5">
      <c r="A38" s="255" t="s">
        <v>41</v>
      </c>
      <c r="B38" s="256">
        <v>257.39</v>
      </c>
      <c r="C38" s="248">
        <v>2100499</v>
      </c>
      <c r="D38" s="248">
        <v>51301</v>
      </c>
      <c r="E38" s="248"/>
    </row>
    <row r="39" s="236" customFormat="1" ht="22.05" customHeight="1" spans="1:5">
      <c r="A39" s="255" t="s">
        <v>42</v>
      </c>
      <c r="B39" s="256">
        <v>526.07</v>
      </c>
      <c r="C39" s="248">
        <v>2100499</v>
      </c>
      <c r="D39" s="248">
        <v>51301</v>
      </c>
      <c r="E39" s="248"/>
    </row>
    <row r="40" s="236" customFormat="1" ht="22.05" customHeight="1" spans="1:5">
      <c r="A40" s="255" t="s">
        <v>43</v>
      </c>
      <c r="B40" s="256">
        <v>484.57</v>
      </c>
      <c r="C40" s="248">
        <v>2100499</v>
      </c>
      <c r="D40" s="248">
        <v>51301</v>
      </c>
      <c r="E40" s="248"/>
    </row>
    <row r="41" s="236" customFormat="1" ht="22.05" customHeight="1" spans="1:5">
      <c r="A41" s="255" t="s">
        <v>44</v>
      </c>
      <c r="B41" s="256">
        <v>439.56</v>
      </c>
      <c r="C41" s="248">
        <v>2100499</v>
      </c>
      <c r="D41" s="248">
        <v>51301</v>
      </c>
      <c r="E41" s="248"/>
    </row>
    <row r="42" s="236" customFormat="1" ht="22.05" customHeight="1" spans="1:5">
      <c r="A42" s="255" t="s">
        <v>45</v>
      </c>
      <c r="B42" s="256">
        <v>453.93</v>
      </c>
      <c r="C42" s="248">
        <v>2100499</v>
      </c>
      <c r="D42" s="248">
        <v>51301</v>
      </c>
      <c r="E42" s="248"/>
    </row>
    <row r="43" s="236" customFormat="1" ht="22.05" customHeight="1" spans="1:5">
      <c r="A43" s="255" t="s">
        <v>46</v>
      </c>
      <c r="B43" s="256">
        <v>465.07</v>
      </c>
      <c r="C43" s="248">
        <v>2100499</v>
      </c>
      <c r="D43" s="248">
        <v>51301</v>
      </c>
      <c r="E43" s="248"/>
    </row>
    <row r="44" s="236" customFormat="1" ht="22.05" customHeight="1" spans="1:5">
      <c r="A44" s="255" t="s">
        <v>47</v>
      </c>
      <c r="B44" s="256">
        <v>320.04</v>
      </c>
      <c r="C44" s="248">
        <v>2100499</v>
      </c>
      <c r="D44" s="248">
        <v>51301</v>
      </c>
      <c r="E44" s="248"/>
    </row>
    <row r="45" s="236" customFormat="1" ht="22.05" customHeight="1" spans="1:5">
      <c r="A45" s="255" t="s">
        <v>48</v>
      </c>
      <c r="B45" s="256">
        <v>244.65</v>
      </c>
      <c r="C45" s="248">
        <v>2100499</v>
      </c>
      <c r="D45" s="248">
        <v>51301</v>
      </c>
      <c r="E45" s="248"/>
    </row>
    <row r="46" s="236" customFormat="1" ht="22.05" customHeight="1" spans="1:5">
      <c r="A46" s="255" t="s">
        <v>49</v>
      </c>
      <c r="B46" s="256">
        <v>341.13</v>
      </c>
      <c r="C46" s="248">
        <v>2100499</v>
      </c>
      <c r="D46" s="248">
        <v>51301</v>
      </c>
      <c r="E46" s="248"/>
    </row>
    <row r="47" s="236" customFormat="1" ht="22.05" customHeight="1" spans="1:5">
      <c r="A47" s="254" t="s">
        <v>50</v>
      </c>
      <c r="B47" s="247">
        <f>SUM(B48:B82)</f>
        <v>1986.97</v>
      </c>
      <c r="C47" s="248">
        <v>2100499</v>
      </c>
      <c r="D47" s="248">
        <v>51301</v>
      </c>
      <c r="E47" s="248"/>
    </row>
    <row r="48" s="236" customFormat="1" ht="22.05" customHeight="1" spans="1:5">
      <c r="A48" s="255" t="s">
        <v>51</v>
      </c>
      <c r="B48" s="257">
        <v>8.78</v>
      </c>
      <c r="C48" s="248">
        <v>2100499</v>
      </c>
      <c r="D48" s="248">
        <v>51301</v>
      </c>
      <c r="E48" s="248"/>
    </row>
    <row r="49" s="236" customFormat="1" ht="22.05" customHeight="1" spans="1:5">
      <c r="A49" s="255" t="s">
        <v>52</v>
      </c>
      <c r="B49" s="257">
        <v>48.82</v>
      </c>
      <c r="C49" s="248">
        <v>2100499</v>
      </c>
      <c r="D49" s="248">
        <v>51301</v>
      </c>
      <c r="E49" s="248"/>
    </row>
    <row r="50" s="236" customFormat="1" ht="22.05" customHeight="1" spans="1:5">
      <c r="A50" s="255" t="s">
        <v>53</v>
      </c>
      <c r="B50" s="257">
        <v>36.6</v>
      </c>
      <c r="C50" s="248">
        <v>2100499</v>
      </c>
      <c r="D50" s="248">
        <v>51301</v>
      </c>
      <c r="E50" s="248"/>
    </row>
    <row r="51" s="236" customFormat="1" ht="22.05" customHeight="1" spans="1:5">
      <c r="A51" s="255" t="s">
        <v>54</v>
      </c>
      <c r="B51" s="257">
        <v>19.21</v>
      </c>
      <c r="C51" s="248">
        <v>2100499</v>
      </c>
      <c r="D51" s="248">
        <v>51301</v>
      </c>
      <c r="E51" s="248"/>
    </row>
    <row r="52" s="236" customFormat="1" ht="22.05" customHeight="1" spans="1:5">
      <c r="A52" s="255" t="s">
        <v>55</v>
      </c>
      <c r="B52" s="257">
        <v>41.58</v>
      </c>
      <c r="C52" s="248">
        <v>2100499</v>
      </c>
      <c r="D52" s="248">
        <v>51301</v>
      </c>
      <c r="E52" s="248"/>
    </row>
    <row r="53" s="236" customFormat="1" ht="22.05" customHeight="1" spans="1:5">
      <c r="A53" s="255" t="s">
        <v>56</v>
      </c>
      <c r="B53" s="257">
        <v>40.63</v>
      </c>
      <c r="C53" s="248">
        <v>2100499</v>
      </c>
      <c r="D53" s="248">
        <v>51301</v>
      </c>
      <c r="E53" s="248"/>
    </row>
    <row r="54" s="236" customFormat="1" ht="22.05" customHeight="1" spans="1:5">
      <c r="A54" s="255" t="s">
        <v>57</v>
      </c>
      <c r="B54" s="257">
        <v>50.21</v>
      </c>
      <c r="C54" s="248">
        <v>2100499</v>
      </c>
      <c r="D54" s="248">
        <v>51301</v>
      </c>
      <c r="E54" s="248"/>
    </row>
    <row r="55" s="236" customFormat="1" ht="22.05" customHeight="1" spans="1:5">
      <c r="A55" s="255" t="s">
        <v>58</v>
      </c>
      <c r="B55" s="257">
        <v>44.57</v>
      </c>
      <c r="C55" s="248">
        <v>2100499</v>
      </c>
      <c r="D55" s="248">
        <v>51301</v>
      </c>
      <c r="E55" s="248"/>
    </row>
    <row r="56" s="236" customFormat="1" ht="22.05" customHeight="1" spans="1:5">
      <c r="A56" s="255" t="s">
        <v>59</v>
      </c>
      <c r="B56" s="257">
        <v>53.9</v>
      </c>
      <c r="C56" s="248">
        <v>2100499</v>
      </c>
      <c r="D56" s="248">
        <v>51301</v>
      </c>
      <c r="E56" s="248"/>
    </row>
    <row r="57" s="236" customFormat="1" ht="22.05" customHeight="1" spans="1:5">
      <c r="A57" s="255" t="s">
        <v>60</v>
      </c>
      <c r="B57" s="257">
        <v>51.9</v>
      </c>
      <c r="C57" s="248">
        <v>2100499</v>
      </c>
      <c r="D57" s="248">
        <v>51301</v>
      </c>
      <c r="E57" s="248"/>
    </row>
    <row r="58" s="236" customFormat="1" ht="22.05" customHeight="1" spans="1:5">
      <c r="A58" s="255" t="s">
        <v>61</v>
      </c>
      <c r="B58" s="257">
        <v>31.66</v>
      </c>
      <c r="C58" s="248">
        <v>2100499</v>
      </c>
      <c r="D58" s="248">
        <v>51301</v>
      </c>
      <c r="E58" s="248"/>
    </row>
    <row r="59" s="236" customFormat="1" ht="22.05" customHeight="1" spans="1:5">
      <c r="A59" s="255" t="s">
        <v>62</v>
      </c>
      <c r="B59" s="257">
        <v>28.18</v>
      </c>
      <c r="C59" s="248">
        <v>2100499</v>
      </c>
      <c r="D59" s="248">
        <v>51301</v>
      </c>
      <c r="E59" s="248"/>
    </row>
    <row r="60" s="236" customFormat="1" ht="22.05" customHeight="1" spans="1:5">
      <c r="A60" s="255" t="s">
        <v>63</v>
      </c>
      <c r="B60" s="257">
        <v>68.43</v>
      </c>
      <c r="C60" s="248">
        <v>2100499</v>
      </c>
      <c r="D60" s="248">
        <v>51301</v>
      </c>
      <c r="E60" s="248"/>
    </row>
    <row r="61" s="236" customFormat="1" ht="22.05" customHeight="1" spans="1:5">
      <c r="A61" s="255" t="s">
        <v>64</v>
      </c>
      <c r="B61" s="257">
        <v>18.23</v>
      </c>
      <c r="C61" s="248">
        <v>2100499</v>
      </c>
      <c r="D61" s="248">
        <v>51301</v>
      </c>
      <c r="E61" s="248"/>
    </row>
    <row r="62" s="236" customFormat="1" ht="22.05" customHeight="1" spans="1:5">
      <c r="A62" s="255" t="s">
        <v>65</v>
      </c>
      <c r="B62" s="257">
        <v>78.39</v>
      </c>
      <c r="C62" s="248">
        <v>2100499</v>
      </c>
      <c r="D62" s="248">
        <v>51301</v>
      </c>
      <c r="E62" s="248"/>
    </row>
    <row r="63" s="236" customFormat="1" ht="22.05" customHeight="1" spans="1:5">
      <c r="A63" s="255" t="s">
        <v>66</v>
      </c>
      <c r="B63" s="257">
        <v>61.57</v>
      </c>
      <c r="C63" s="248">
        <v>2100499</v>
      </c>
      <c r="D63" s="248">
        <v>51301</v>
      </c>
      <c r="E63" s="248"/>
    </row>
    <row r="64" s="236" customFormat="1" ht="22.05" customHeight="1" spans="1:5">
      <c r="A64" s="255" t="s">
        <v>67</v>
      </c>
      <c r="B64" s="257">
        <v>85.05</v>
      </c>
      <c r="C64" s="248">
        <v>2100499</v>
      </c>
      <c r="D64" s="248">
        <v>51301</v>
      </c>
      <c r="E64" s="248"/>
    </row>
    <row r="65" s="236" customFormat="1" ht="22.05" customHeight="1" spans="1:5">
      <c r="A65" s="255" t="s">
        <v>68</v>
      </c>
      <c r="B65" s="257">
        <v>52.02</v>
      </c>
      <c r="C65" s="248">
        <v>2100499</v>
      </c>
      <c r="D65" s="248">
        <v>51301</v>
      </c>
      <c r="E65" s="248"/>
    </row>
    <row r="66" s="236" customFormat="1" ht="22.05" customHeight="1" spans="1:5">
      <c r="A66" s="255" t="s">
        <v>69</v>
      </c>
      <c r="B66" s="257">
        <v>138.75</v>
      </c>
      <c r="C66" s="248">
        <v>2100499</v>
      </c>
      <c r="D66" s="248">
        <v>51301</v>
      </c>
      <c r="E66" s="248"/>
    </row>
    <row r="67" s="236" customFormat="1" ht="22.05" customHeight="1" spans="1:5">
      <c r="A67" s="255" t="s">
        <v>70</v>
      </c>
      <c r="B67" s="257">
        <v>86.76</v>
      </c>
      <c r="C67" s="248">
        <v>2100499</v>
      </c>
      <c r="D67" s="248">
        <v>51301</v>
      </c>
      <c r="E67" s="248"/>
    </row>
    <row r="68" s="236" customFormat="1" ht="22.05" customHeight="1" spans="1:5">
      <c r="A68" s="255" t="s">
        <v>71</v>
      </c>
      <c r="B68" s="257">
        <v>86.4</v>
      </c>
      <c r="C68" s="248">
        <v>2100499</v>
      </c>
      <c r="D68" s="248">
        <v>51301</v>
      </c>
      <c r="E68" s="248"/>
    </row>
    <row r="69" s="236" customFormat="1" ht="22.05" customHeight="1" spans="1:5">
      <c r="A69" s="255" t="s">
        <v>72</v>
      </c>
      <c r="B69" s="257">
        <v>77.76</v>
      </c>
      <c r="C69" s="248">
        <v>2100499</v>
      </c>
      <c r="D69" s="248">
        <v>51301</v>
      </c>
      <c r="E69" s="248"/>
    </row>
    <row r="70" s="236" customFormat="1" ht="22.05" customHeight="1" spans="1:5">
      <c r="A70" s="255" t="s">
        <v>73</v>
      </c>
      <c r="B70" s="257">
        <v>37.09</v>
      </c>
      <c r="C70" s="248">
        <v>2100499</v>
      </c>
      <c r="D70" s="248">
        <v>51301</v>
      </c>
      <c r="E70" s="248"/>
    </row>
    <row r="71" s="236" customFormat="1" ht="22.05" customHeight="1" spans="1:5">
      <c r="A71" s="255" t="s">
        <v>74</v>
      </c>
      <c r="B71" s="257">
        <v>47.43</v>
      </c>
      <c r="C71" s="248">
        <v>2100499</v>
      </c>
      <c r="D71" s="248">
        <v>51301</v>
      </c>
      <c r="E71" s="248"/>
    </row>
    <row r="72" s="236" customFormat="1" ht="22.05" customHeight="1" spans="1:5">
      <c r="A72" s="255" t="s">
        <v>75</v>
      </c>
      <c r="B72" s="257">
        <v>33.22</v>
      </c>
      <c r="C72" s="248">
        <v>2100499</v>
      </c>
      <c r="D72" s="248">
        <v>51301</v>
      </c>
      <c r="E72" s="248"/>
    </row>
    <row r="73" s="236" customFormat="1" ht="22.05" customHeight="1" spans="1:5">
      <c r="A73" s="255" t="s">
        <v>76</v>
      </c>
      <c r="B73" s="257">
        <v>35.76</v>
      </c>
      <c r="C73" s="248">
        <v>2100499</v>
      </c>
      <c r="D73" s="248">
        <v>51301</v>
      </c>
      <c r="E73" s="248"/>
    </row>
    <row r="74" s="236" customFormat="1" ht="22.05" customHeight="1" spans="1:5">
      <c r="A74" s="255" t="s">
        <v>77</v>
      </c>
      <c r="B74" s="257">
        <v>152.67</v>
      </c>
      <c r="C74" s="248">
        <v>2100499</v>
      </c>
      <c r="D74" s="248">
        <v>51301</v>
      </c>
      <c r="E74" s="248"/>
    </row>
    <row r="75" s="236" customFormat="1" ht="22.05" customHeight="1" spans="1:5">
      <c r="A75" s="255" t="s">
        <v>78</v>
      </c>
      <c r="B75" s="257">
        <v>15.41</v>
      </c>
      <c r="C75" s="248">
        <v>2100499</v>
      </c>
      <c r="D75" s="248">
        <v>51301</v>
      </c>
      <c r="E75" s="248"/>
    </row>
    <row r="76" s="236" customFormat="1" ht="22.05" customHeight="1" spans="1:5">
      <c r="A76" s="255" t="s">
        <v>79</v>
      </c>
      <c r="B76" s="257">
        <v>21.11</v>
      </c>
      <c r="C76" s="248">
        <v>2100499</v>
      </c>
      <c r="D76" s="248">
        <v>51301</v>
      </c>
      <c r="E76" s="248"/>
    </row>
    <row r="77" s="236" customFormat="1" ht="22.05" customHeight="1" spans="1:5">
      <c r="A77" s="255" t="s">
        <v>80</v>
      </c>
      <c r="B77" s="257">
        <v>45.07</v>
      </c>
      <c r="C77" s="248">
        <v>2100499</v>
      </c>
      <c r="D77" s="248">
        <v>51301</v>
      </c>
      <c r="E77" s="248"/>
    </row>
    <row r="78" s="236" customFormat="1" ht="22.05" customHeight="1" spans="1:5">
      <c r="A78" s="255" t="s">
        <v>81</v>
      </c>
      <c r="B78" s="257">
        <v>124.18</v>
      </c>
      <c r="C78" s="248">
        <v>2100499</v>
      </c>
      <c r="D78" s="248">
        <v>51301</v>
      </c>
      <c r="E78" s="248"/>
    </row>
    <row r="79" s="236" customFormat="1" ht="22.05" customHeight="1" spans="1:5">
      <c r="A79" s="255" t="s">
        <v>82</v>
      </c>
      <c r="B79" s="257">
        <v>57.81</v>
      </c>
      <c r="C79" s="248">
        <v>2100499</v>
      </c>
      <c r="D79" s="248">
        <v>51301</v>
      </c>
      <c r="E79" s="248"/>
    </row>
    <row r="80" s="236" customFormat="1" ht="22.05" customHeight="1" spans="1:5">
      <c r="A80" s="255" t="s">
        <v>83</v>
      </c>
      <c r="B80" s="257">
        <v>59.2</v>
      </c>
      <c r="C80" s="248">
        <v>2100499</v>
      </c>
      <c r="D80" s="248">
        <v>51301</v>
      </c>
      <c r="E80" s="248"/>
    </row>
    <row r="81" s="236" customFormat="1" ht="22.05" customHeight="1" spans="1:5">
      <c r="A81" s="255" t="s">
        <v>84</v>
      </c>
      <c r="B81" s="257">
        <v>112.95</v>
      </c>
      <c r="C81" s="248">
        <v>2100499</v>
      </c>
      <c r="D81" s="248">
        <v>51301</v>
      </c>
      <c r="E81" s="248"/>
    </row>
    <row r="82" s="236" customFormat="1" ht="22.05" customHeight="1" spans="1:5">
      <c r="A82" s="255" t="s">
        <v>85</v>
      </c>
      <c r="B82" s="256">
        <v>35.67</v>
      </c>
      <c r="C82" s="248">
        <v>2100499</v>
      </c>
      <c r="D82" s="248">
        <v>51301</v>
      </c>
      <c r="E82" s="248"/>
    </row>
  </sheetData>
  <mergeCells count="1">
    <mergeCell ref="A2:E2"/>
  </mergeCells>
  <printOptions horizontalCentered="1"/>
  <pageMargins left="0.472222222222222" right="0.472222222222222" top="0.590277777777778" bottom="0.786805555555556" header="0.298611111111111" footer="0.495833333333333"/>
  <pageSetup paperSize="9"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R63"/>
  <sheetViews>
    <sheetView tabSelected="1" view="pageBreakPreview" zoomScale="85" zoomScaleNormal="100" workbookViewId="0">
      <selection activeCell="A55" sqref="A55"/>
    </sheetView>
  </sheetViews>
  <sheetFormatPr defaultColWidth="9" defaultRowHeight="15"/>
  <cols>
    <col min="1" max="1" width="25.4416666666667" style="216" customWidth="1"/>
    <col min="2" max="2" width="12" style="217" customWidth="1"/>
    <col min="3" max="3" width="9.33333333333333" style="217" customWidth="1"/>
    <col min="4" max="4" width="9.225" style="217" customWidth="1"/>
    <col min="5" max="5" width="9.88333333333333" style="217" customWidth="1"/>
    <col min="6" max="7" width="10.225" style="217" customWidth="1"/>
    <col min="8" max="8" width="9" style="217" customWidth="1"/>
    <col min="9" max="9" width="11.225" style="217" customWidth="1"/>
    <col min="10" max="10" width="10" style="217" customWidth="1"/>
    <col min="11" max="11" width="10.4416666666667" style="217" customWidth="1"/>
    <col min="12" max="12" width="11.225" style="217" customWidth="1"/>
    <col min="13" max="13" width="11.1083333333333" style="217" customWidth="1"/>
    <col min="14" max="14" width="13.3333333333333" style="217" customWidth="1"/>
    <col min="15" max="15" width="9.44166666666667" style="217" customWidth="1"/>
    <col min="16" max="16" width="9.44166666666667" style="217"/>
    <col min="17" max="17" width="11.8833333333333" style="218" customWidth="1"/>
    <col min="18" max="18" width="10.8833333333333" style="218" customWidth="1"/>
    <col min="19" max="16384" width="9" style="218"/>
  </cols>
  <sheetData>
    <row r="1" ht="14.25" spans="1:1">
      <c r="A1" s="219" t="s">
        <v>0</v>
      </c>
    </row>
    <row r="2" ht="25" customHeight="1" spans="1:18">
      <c r="A2" s="220" t="s">
        <v>86</v>
      </c>
      <c r="B2" s="220"/>
      <c r="C2" s="220"/>
      <c r="D2" s="220"/>
      <c r="E2" s="220"/>
      <c r="F2" s="220"/>
      <c r="G2" s="220"/>
      <c r="H2" s="220"/>
      <c r="I2" s="220"/>
      <c r="J2" s="220"/>
      <c r="K2" s="220"/>
      <c r="L2" s="220"/>
      <c r="M2" s="220"/>
      <c r="N2" s="220"/>
      <c r="O2" s="220"/>
      <c r="P2" s="220"/>
      <c r="Q2" s="220"/>
      <c r="R2" s="220"/>
    </row>
    <row r="3" ht="18.75" spans="1:18">
      <c r="A3" s="221"/>
      <c r="B3" s="222"/>
      <c r="C3" s="222"/>
      <c r="D3" s="222"/>
      <c r="E3" s="222"/>
      <c r="F3" s="222"/>
      <c r="G3" s="222"/>
      <c r="H3" s="222"/>
      <c r="I3" s="222"/>
      <c r="J3" s="222"/>
      <c r="K3" s="222"/>
      <c r="L3" s="222"/>
      <c r="M3" s="222"/>
      <c r="N3" s="222"/>
      <c r="O3" s="222"/>
      <c r="P3" s="222"/>
      <c r="R3" s="232" t="s">
        <v>87</v>
      </c>
    </row>
    <row r="4" ht="55.05" customHeight="1" spans="1:18">
      <c r="A4" s="223" t="s">
        <v>88</v>
      </c>
      <c r="B4" s="204" t="s">
        <v>89</v>
      </c>
      <c r="C4" s="204" t="s">
        <v>90</v>
      </c>
      <c r="D4" s="204" t="s">
        <v>91</v>
      </c>
      <c r="E4" s="204" t="s">
        <v>92</v>
      </c>
      <c r="F4" s="224" t="s">
        <v>93</v>
      </c>
      <c r="G4" s="204" t="s">
        <v>94</v>
      </c>
      <c r="H4" s="204" t="s">
        <v>95</v>
      </c>
      <c r="I4" s="204" t="s">
        <v>96</v>
      </c>
      <c r="J4" s="204" t="s">
        <v>97</v>
      </c>
      <c r="K4" s="224" t="s">
        <v>98</v>
      </c>
      <c r="L4" s="204" t="s">
        <v>99</v>
      </c>
      <c r="M4" s="204" t="s">
        <v>100</v>
      </c>
      <c r="N4" s="204" t="s">
        <v>101</v>
      </c>
      <c r="O4" s="75" t="s">
        <v>102</v>
      </c>
      <c r="P4" s="75" t="s">
        <v>103</v>
      </c>
      <c r="Q4" s="233" t="s">
        <v>104</v>
      </c>
      <c r="R4" s="223" t="s">
        <v>105</v>
      </c>
    </row>
    <row r="5" ht="22.05" customHeight="1" spans="1:18">
      <c r="A5" s="225" t="s">
        <v>106</v>
      </c>
      <c r="B5" s="226">
        <f>B6+B27</f>
        <v>9592.25</v>
      </c>
      <c r="C5" s="226">
        <f t="shared" ref="C5:R5" si="0">C6+C27</f>
        <v>205</v>
      </c>
      <c r="D5" s="226">
        <f t="shared" si="0"/>
        <v>2832</v>
      </c>
      <c r="E5" s="226">
        <f t="shared" si="0"/>
        <v>1201.4</v>
      </c>
      <c r="F5" s="226">
        <f t="shared" si="0"/>
        <v>1329.42</v>
      </c>
      <c r="G5" s="226">
        <f t="shared" si="0"/>
        <v>299.2</v>
      </c>
      <c r="H5" s="226">
        <f t="shared" si="0"/>
        <v>188.45</v>
      </c>
      <c r="I5" s="226">
        <f t="shared" si="0"/>
        <v>373.8</v>
      </c>
      <c r="J5" s="226">
        <f t="shared" si="0"/>
        <v>1349.5</v>
      </c>
      <c r="K5" s="226">
        <f t="shared" si="0"/>
        <v>976</v>
      </c>
      <c r="L5" s="226">
        <f t="shared" si="0"/>
        <v>726.48</v>
      </c>
      <c r="M5" s="226">
        <f t="shared" si="0"/>
        <v>21</v>
      </c>
      <c r="N5" s="226">
        <f t="shared" si="0"/>
        <v>0</v>
      </c>
      <c r="O5" s="226">
        <f t="shared" si="0"/>
        <v>40</v>
      </c>
      <c r="P5" s="226">
        <f t="shared" si="0"/>
        <v>50</v>
      </c>
      <c r="Q5" s="226">
        <f t="shared" si="0"/>
        <v>0</v>
      </c>
      <c r="R5" s="226">
        <f t="shared" si="0"/>
        <v>0</v>
      </c>
    </row>
    <row r="6" s="215" customFormat="1" ht="22.05" customHeight="1" spans="1:18">
      <c r="A6" s="227" t="s">
        <v>107</v>
      </c>
      <c r="B6" s="226">
        <f>SUM(B7:B26)</f>
        <v>6783.92</v>
      </c>
      <c r="C6" s="226">
        <f t="shared" ref="C6:R6" si="1">SUM(C7:C26)</f>
        <v>118.44</v>
      </c>
      <c r="D6" s="226">
        <f t="shared" si="1"/>
        <v>1683.48</v>
      </c>
      <c r="E6" s="226">
        <f t="shared" si="1"/>
        <v>1007.33</v>
      </c>
      <c r="F6" s="226">
        <f t="shared" si="1"/>
        <v>1324.77</v>
      </c>
      <c r="G6" s="226">
        <f t="shared" si="1"/>
        <v>160.72</v>
      </c>
      <c r="H6" s="226">
        <f t="shared" si="1"/>
        <v>122.16</v>
      </c>
      <c r="I6" s="226">
        <f t="shared" si="1"/>
        <v>173.01</v>
      </c>
      <c r="J6" s="226">
        <f t="shared" si="1"/>
        <v>1045.81</v>
      </c>
      <c r="K6" s="226">
        <f t="shared" si="1"/>
        <v>714.26</v>
      </c>
      <c r="L6" s="226">
        <f t="shared" si="1"/>
        <v>397.51</v>
      </c>
      <c r="M6" s="226">
        <f t="shared" si="1"/>
        <v>21</v>
      </c>
      <c r="N6" s="226">
        <f t="shared" si="1"/>
        <v>0</v>
      </c>
      <c r="O6" s="226">
        <f t="shared" si="1"/>
        <v>40</v>
      </c>
      <c r="P6" s="226">
        <f t="shared" si="1"/>
        <v>31</v>
      </c>
      <c r="Q6" s="226">
        <f t="shared" si="1"/>
        <v>0</v>
      </c>
      <c r="R6" s="226">
        <f t="shared" si="1"/>
        <v>-55.57</v>
      </c>
    </row>
    <row r="7" ht="22.05" customHeight="1" spans="1:18">
      <c r="A7" s="228" t="s">
        <v>108</v>
      </c>
      <c r="B7" s="229">
        <f t="shared" ref="B6:B19" si="2">SUM(C7:R7)</f>
        <v>158.93</v>
      </c>
      <c r="C7" s="229">
        <f>'市县（因素法）'!D9</f>
        <v>0</v>
      </c>
      <c r="D7" s="229">
        <f>'市县（因素法）'!H9</f>
        <v>0</v>
      </c>
      <c r="E7" s="229">
        <f>'市县（因素法）'!P9</f>
        <v>0</v>
      </c>
      <c r="F7" s="229">
        <f>'市县（因素法）'!V9</f>
        <v>91.21</v>
      </c>
      <c r="G7" s="229">
        <f>'市县（因素法）'!AE9</f>
        <v>0</v>
      </c>
      <c r="H7" s="229">
        <f>'市县（因素法）'!AO9</f>
        <v>0</v>
      </c>
      <c r="I7" s="229">
        <f>'市县（因素法）'!AS9</f>
        <v>0</v>
      </c>
      <c r="J7" s="229">
        <f>'市县（因素法）'!AZ9</f>
        <v>0</v>
      </c>
      <c r="K7" s="229">
        <f>'市县（因素法）'!BP9</f>
        <v>56</v>
      </c>
      <c r="L7" s="229">
        <f>'市县（因素法）'!BS9+'市县（因素法）'!BX9</f>
        <v>8.72</v>
      </c>
      <c r="M7" s="229">
        <f>'市县（因素法）'!CA9</f>
        <v>3</v>
      </c>
      <c r="N7" s="229"/>
      <c r="O7" s="229">
        <f>'市县（因素法）'!CB9</f>
        <v>0</v>
      </c>
      <c r="P7" s="229">
        <f>'市县（因素法）'!CC9</f>
        <v>0</v>
      </c>
      <c r="Q7" s="234"/>
      <c r="R7" s="235"/>
    </row>
    <row r="8" ht="22.05" customHeight="1" spans="1:18">
      <c r="A8" s="228" t="s">
        <v>109</v>
      </c>
      <c r="B8" s="229">
        <f t="shared" si="2"/>
        <v>93.26</v>
      </c>
      <c r="C8" s="229">
        <f>'市县（因素法）'!D10</f>
        <v>0</v>
      </c>
      <c r="D8" s="229">
        <f>'市县（因素法）'!H10</f>
        <v>0</v>
      </c>
      <c r="E8" s="229">
        <f>'市县（因素法）'!P10</f>
        <v>0</v>
      </c>
      <c r="F8" s="229">
        <f>'市县（因素法）'!V10</f>
        <v>65.14</v>
      </c>
      <c r="G8" s="229">
        <f>'市县（因素法）'!AE10</f>
        <v>0</v>
      </c>
      <c r="H8" s="229">
        <f>'市县（因素法）'!AO10</f>
        <v>10</v>
      </c>
      <c r="I8" s="229">
        <f>'市县（因素法）'!AS10</f>
        <v>0</v>
      </c>
      <c r="J8" s="229">
        <f>'市县（因素法）'!AZ10</f>
        <v>0</v>
      </c>
      <c r="K8" s="229">
        <f>'市县（因素法）'!BP10</f>
        <v>11.2</v>
      </c>
      <c r="L8" s="229">
        <f>'市县（因素法）'!BS10+'市县（因素法）'!BX10</f>
        <v>0.92</v>
      </c>
      <c r="M8" s="229">
        <f>'市县（因素法）'!CA10</f>
        <v>3</v>
      </c>
      <c r="N8" s="229"/>
      <c r="O8" s="229">
        <f>'市县（因素法）'!CB10</f>
        <v>0</v>
      </c>
      <c r="P8" s="229">
        <f>'市县（因素法）'!CC10</f>
        <v>3</v>
      </c>
      <c r="Q8" s="234"/>
      <c r="R8" s="235"/>
    </row>
    <row r="9" ht="22.05" customHeight="1" spans="1:18">
      <c r="A9" s="228" t="s">
        <v>110</v>
      </c>
      <c r="B9" s="229">
        <f t="shared" si="2"/>
        <v>764.1</v>
      </c>
      <c r="C9" s="229">
        <f>'市县（因素法）'!D11</f>
        <v>19.37</v>
      </c>
      <c r="D9" s="229">
        <f>'市县（因素法）'!H11</f>
        <v>193.57</v>
      </c>
      <c r="E9" s="229">
        <f>'市县（因素法）'!P11</f>
        <v>305.86</v>
      </c>
      <c r="F9" s="229">
        <f>'市县（因素法）'!V11</f>
        <v>63.81</v>
      </c>
      <c r="G9" s="229">
        <f>'市县（因素法）'!AE11</f>
        <v>2.54</v>
      </c>
      <c r="H9" s="229">
        <f>'市县（因素法）'!AO11</f>
        <v>5.79</v>
      </c>
      <c r="I9" s="229">
        <f>'市县（因素法）'!AS11</f>
        <v>8.64</v>
      </c>
      <c r="J9" s="229">
        <f>'市县（因素法）'!AZ11</f>
        <v>96</v>
      </c>
      <c r="K9" s="229">
        <f>'市县（因素法）'!BP11</f>
        <v>47.26</v>
      </c>
      <c r="L9" s="229">
        <f>'市县（因素法）'!BS11+'市县（因素法）'!BX11</f>
        <v>29.01</v>
      </c>
      <c r="M9" s="229">
        <f>'市县（因素法）'!CA11</f>
        <v>0</v>
      </c>
      <c r="N9" s="229"/>
      <c r="O9" s="229">
        <f>'市县（因素法）'!CB11</f>
        <v>10</v>
      </c>
      <c r="P9" s="229">
        <f>'市县（因素法）'!CC11</f>
        <v>0</v>
      </c>
      <c r="Q9" s="234"/>
      <c r="R9" s="235">
        <v>-17.75</v>
      </c>
    </row>
    <row r="10" ht="22.05" customHeight="1" spans="1:18">
      <c r="A10" s="228" t="s">
        <v>111</v>
      </c>
      <c r="B10" s="229">
        <f t="shared" si="2"/>
        <v>89.54</v>
      </c>
      <c r="C10" s="229">
        <f>'市县（因素法）'!D12</f>
        <v>0</v>
      </c>
      <c r="D10" s="229">
        <f>'市县（因素法）'!H12</f>
        <v>0</v>
      </c>
      <c r="E10" s="229">
        <f>'市县（因素法）'!P12</f>
        <v>0</v>
      </c>
      <c r="F10" s="229">
        <f>'市县（因素法）'!V12</f>
        <v>36.82</v>
      </c>
      <c r="G10" s="229">
        <f>'市县（因素法）'!AE12</f>
        <v>0</v>
      </c>
      <c r="H10" s="229">
        <f>'市县（因素法）'!AO12</f>
        <v>0</v>
      </c>
      <c r="I10" s="229">
        <f>'市县（因素法）'!AS12</f>
        <v>0</v>
      </c>
      <c r="J10" s="229">
        <f>'市县（因素法）'!AZ12</f>
        <v>0</v>
      </c>
      <c r="K10" s="229">
        <f>'市县（因素法）'!BP12</f>
        <v>6</v>
      </c>
      <c r="L10" s="229">
        <f>'市县（因素法）'!BS12+'市县（因素法）'!BX12</f>
        <v>3.19</v>
      </c>
      <c r="M10" s="229">
        <f>'市县（因素法）'!CA12</f>
        <v>3</v>
      </c>
      <c r="N10" s="229"/>
      <c r="O10" s="229">
        <f>'市县（因素法）'!CB12</f>
        <v>0</v>
      </c>
      <c r="P10" s="229">
        <f>'市县（因素法）'!CC12</f>
        <v>0</v>
      </c>
      <c r="Q10" s="234"/>
      <c r="R10" s="235">
        <v>40.53</v>
      </c>
    </row>
    <row r="11" ht="22.05" customHeight="1" spans="1:18">
      <c r="A11" s="228" t="s">
        <v>112</v>
      </c>
      <c r="B11" s="229">
        <f t="shared" si="2"/>
        <v>519.2</v>
      </c>
      <c r="C11" s="229">
        <f>'市县（因素法）'!D13</f>
        <v>5.31</v>
      </c>
      <c r="D11" s="229">
        <f>'市县（因素法）'!H13</f>
        <v>100.52</v>
      </c>
      <c r="E11" s="229">
        <f>'市县（因素法）'!P13</f>
        <v>44.18</v>
      </c>
      <c r="F11" s="229">
        <f>'市县（因素法）'!V13</f>
        <v>68.73</v>
      </c>
      <c r="G11" s="229">
        <f>'市县（因素法）'!AE13</f>
        <v>84.11</v>
      </c>
      <c r="H11" s="229">
        <f>'市县（因素法）'!AO13</f>
        <v>13.19</v>
      </c>
      <c r="I11" s="229">
        <f>'市县（因素法）'!AS13</f>
        <v>6.1</v>
      </c>
      <c r="J11" s="229">
        <f>'市县（因素法）'!AZ13</f>
        <v>85.55</v>
      </c>
      <c r="K11" s="229">
        <f>'市县（因素法）'!BP13</f>
        <v>70.19</v>
      </c>
      <c r="L11" s="229">
        <f>'市县（因素法）'!BS13+'市县（因素法）'!BX13</f>
        <v>41.32</v>
      </c>
      <c r="M11" s="229">
        <f>'市县（因素法）'!CA13</f>
        <v>0</v>
      </c>
      <c r="N11" s="229"/>
      <c r="O11" s="229">
        <f>'市县（因素法）'!CB13</f>
        <v>0</v>
      </c>
      <c r="P11" s="229">
        <f>'市县（因素法）'!CC13</f>
        <v>0</v>
      </c>
      <c r="Q11" s="234"/>
      <c r="R11" s="235"/>
    </row>
    <row r="12" ht="22.05" customHeight="1" spans="1:18">
      <c r="A12" s="228" t="s">
        <v>113</v>
      </c>
      <c r="B12" s="229">
        <f t="shared" si="2"/>
        <v>398.6</v>
      </c>
      <c r="C12" s="229">
        <f>'市县（因素法）'!D14</f>
        <v>5.29</v>
      </c>
      <c r="D12" s="229">
        <f>'市县（因素法）'!H14</f>
        <v>68.64</v>
      </c>
      <c r="E12" s="229">
        <f>'市县（因素法）'!P14</f>
        <v>131.87</v>
      </c>
      <c r="F12" s="229">
        <f>'市县（因素法）'!V14</f>
        <v>76.18</v>
      </c>
      <c r="G12" s="229">
        <f>'市县（因素法）'!AE14</f>
        <v>2.21</v>
      </c>
      <c r="H12" s="229">
        <f>'市县（因素法）'!AO14</f>
        <v>3.58</v>
      </c>
      <c r="I12" s="229">
        <f>'市县（因素法）'!AS14</f>
        <v>1.04</v>
      </c>
      <c r="J12" s="229">
        <f>'市县（因素法）'!AZ14</f>
        <v>70.01</v>
      </c>
      <c r="K12" s="229">
        <f>'市县（因素法）'!BP14</f>
        <v>27.23</v>
      </c>
      <c r="L12" s="229">
        <f>'市县（因素法）'!BS14+'市县（因素法）'!BX14</f>
        <v>26.96</v>
      </c>
      <c r="M12" s="229">
        <f>'市县（因素法）'!CA14</f>
        <v>0</v>
      </c>
      <c r="N12" s="229"/>
      <c r="O12" s="229">
        <f>'市县（因素法）'!CB14</f>
        <v>0</v>
      </c>
      <c r="P12" s="229">
        <f>'市县（因素法）'!CC14</f>
        <v>0</v>
      </c>
      <c r="Q12" s="234"/>
      <c r="R12" s="235">
        <v>-14.41</v>
      </c>
    </row>
    <row r="13" ht="22.05" customHeight="1" spans="1:18">
      <c r="A13" s="228" t="s">
        <v>114</v>
      </c>
      <c r="B13" s="229">
        <f t="shared" si="2"/>
        <v>296.25</v>
      </c>
      <c r="C13" s="229">
        <f>'市县（因素法）'!D15</f>
        <v>3.75</v>
      </c>
      <c r="D13" s="229">
        <f>'市县（因素法）'!H15</f>
        <v>51.41</v>
      </c>
      <c r="E13" s="229">
        <f>'市县（因素法）'!P15</f>
        <v>33.42</v>
      </c>
      <c r="F13" s="229">
        <f>'市县（因素法）'!V15</f>
        <v>44.4</v>
      </c>
      <c r="G13" s="229">
        <f>'市县（因素法）'!AE15</f>
        <v>17.77</v>
      </c>
      <c r="H13" s="229">
        <f>'市县（因素法）'!AO15</f>
        <v>5.08</v>
      </c>
      <c r="I13" s="229">
        <f>'市县（因素法）'!AS15</f>
        <v>5.46</v>
      </c>
      <c r="J13" s="229">
        <f>'市县（因素法）'!AZ15</f>
        <v>69.18</v>
      </c>
      <c r="K13" s="229">
        <f>'市县（因素法）'!BP15</f>
        <v>56.42</v>
      </c>
      <c r="L13" s="229">
        <f>'市县（因素法）'!BS15+'市县（因素法）'!BX15</f>
        <v>29.29</v>
      </c>
      <c r="M13" s="229">
        <f>'市县（因素法）'!CA15</f>
        <v>0</v>
      </c>
      <c r="N13" s="229"/>
      <c r="O13" s="229">
        <f>'市县（因素法）'!CB15</f>
        <v>0</v>
      </c>
      <c r="P13" s="229">
        <f>'市县（因素法）'!CC15</f>
        <v>0</v>
      </c>
      <c r="Q13" s="234"/>
      <c r="R13" s="235">
        <v>-19.93</v>
      </c>
    </row>
    <row r="14" ht="22.05" customHeight="1" spans="1:18">
      <c r="A14" s="228" t="s">
        <v>115</v>
      </c>
      <c r="B14" s="229">
        <f t="shared" si="2"/>
        <v>580.09</v>
      </c>
      <c r="C14" s="229">
        <f>'市县（因素法）'!D16</f>
        <v>17.02</v>
      </c>
      <c r="D14" s="229">
        <f>'市县（因素法）'!H16</f>
        <v>148.48</v>
      </c>
      <c r="E14" s="229">
        <f>'市县（因素法）'!P16</f>
        <v>145.87</v>
      </c>
      <c r="F14" s="229">
        <f>'市县（因素法）'!V16</f>
        <v>71.39</v>
      </c>
      <c r="G14" s="229">
        <f>'市县（因素法）'!AE16</f>
        <v>4.31</v>
      </c>
      <c r="H14" s="229">
        <f>'市县（因素法）'!AO16</f>
        <v>0</v>
      </c>
      <c r="I14" s="229">
        <f>'市县（因素法）'!AS16</f>
        <v>14.35</v>
      </c>
      <c r="J14" s="229">
        <f>'市县（因素法）'!AZ16</f>
        <v>97.58</v>
      </c>
      <c r="K14" s="229">
        <f>'市县（因素法）'!BP16</f>
        <v>49.89</v>
      </c>
      <c r="L14" s="229">
        <f>'市县（因素法）'!BS16+'市县（因素法）'!BX16</f>
        <v>31.2</v>
      </c>
      <c r="M14" s="229">
        <f>'市县（因素法）'!CA16</f>
        <v>0</v>
      </c>
      <c r="N14" s="229"/>
      <c r="O14" s="229">
        <f>'市县（因素法）'!CB16</f>
        <v>0</v>
      </c>
      <c r="P14" s="229">
        <f>'市县（因素法）'!CC16</f>
        <v>0</v>
      </c>
      <c r="Q14" s="234"/>
      <c r="R14" s="235"/>
    </row>
    <row r="15" ht="22.05" customHeight="1" spans="1:18">
      <c r="A15" s="228" t="s">
        <v>116</v>
      </c>
      <c r="B15" s="229">
        <f t="shared" si="2"/>
        <v>204.07</v>
      </c>
      <c r="C15" s="229">
        <f>'市县（因素法）'!D17</f>
        <v>1.52</v>
      </c>
      <c r="D15" s="229">
        <f>'市县（因素法）'!H17</f>
        <v>22.4</v>
      </c>
      <c r="E15" s="229">
        <f>'市县（因素法）'!P17</f>
        <v>2.32</v>
      </c>
      <c r="F15" s="229">
        <f>'市县（因素法）'!V17</f>
        <v>105.95</v>
      </c>
      <c r="G15" s="229">
        <f>'市县（因素法）'!AE17</f>
        <v>1.5</v>
      </c>
      <c r="H15" s="229">
        <f>'市县（因素法）'!AO17</f>
        <v>1.35</v>
      </c>
      <c r="I15" s="229">
        <f>'市县（因素法）'!AS17</f>
        <v>0.23</v>
      </c>
      <c r="J15" s="229">
        <f>'市县（因素法）'!AZ17</f>
        <v>35.84</v>
      </c>
      <c r="K15" s="229">
        <f>'市县（因素法）'!BP17</f>
        <v>24.73</v>
      </c>
      <c r="L15" s="229">
        <f>'市县（因素法）'!BS17+'市县（因素法）'!BX17</f>
        <v>4.96</v>
      </c>
      <c r="M15" s="229">
        <f>'市县（因素法）'!CA17</f>
        <v>0</v>
      </c>
      <c r="N15" s="229"/>
      <c r="O15" s="229">
        <f>'市县（因素法）'!CB17</f>
        <v>10</v>
      </c>
      <c r="P15" s="229">
        <f>'市县（因素法）'!CC17</f>
        <v>0</v>
      </c>
      <c r="Q15" s="234"/>
      <c r="R15" s="235">
        <v>-6.73</v>
      </c>
    </row>
    <row r="16" ht="22.05" customHeight="1" spans="1:18">
      <c r="A16" s="228" t="s">
        <v>117</v>
      </c>
      <c r="B16" s="229">
        <f t="shared" si="2"/>
        <v>107.39</v>
      </c>
      <c r="C16" s="229">
        <f>'市县（因素法）'!D18</f>
        <v>0</v>
      </c>
      <c r="D16" s="229">
        <f>'市县（因素法）'!H18</f>
        <v>0</v>
      </c>
      <c r="E16" s="229">
        <f>'市县（因素法）'!P18</f>
        <v>0</v>
      </c>
      <c r="F16" s="229">
        <f>'市县（因素法）'!V18</f>
        <v>49.19</v>
      </c>
      <c r="G16" s="229">
        <f>'市县（因素法）'!AE18</f>
        <v>0</v>
      </c>
      <c r="H16" s="229">
        <f>'市县（因素法）'!AO18</f>
        <v>0</v>
      </c>
      <c r="I16" s="229">
        <f>'市县（因素法）'!AS18</f>
        <v>0</v>
      </c>
      <c r="J16" s="229">
        <f>'市县（因素法）'!AZ18</f>
        <v>0</v>
      </c>
      <c r="K16" s="229">
        <f>'市县（因素法）'!BP18</f>
        <v>10</v>
      </c>
      <c r="L16" s="229">
        <f>'市县（因素法）'!BS18+'市县（因素法）'!BX18</f>
        <v>3.19</v>
      </c>
      <c r="M16" s="229">
        <f>'市县（因素法）'!CA18</f>
        <v>3</v>
      </c>
      <c r="N16" s="229"/>
      <c r="O16" s="229">
        <f>'市县（因素法）'!CB18</f>
        <v>0</v>
      </c>
      <c r="P16" s="229">
        <f>'市县（因素法）'!CC18</f>
        <v>3</v>
      </c>
      <c r="Q16" s="234"/>
      <c r="R16" s="235">
        <v>39.01</v>
      </c>
    </row>
    <row r="17" ht="22.05" customHeight="1" spans="1:18">
      <c r="A17" s="228" t="s">
        <v>118</v>
      </c>
      <c r="B17" s="229">
        <f t="shared" si="2"/>
        <v>72.34</v>
      </c>
      <c r="C17" s="229">
        <f>'市县（因素法）'!D19</f>
        <v>0</v>
      </c>
      <c r="D17" s="229">
        <f>'市县（因素法）'!H19</f>
        <v>0</v>
      </c>
      <c r="E17" s="229">
        <f>'市县（因素法）'!P19</f>
        <v>0</v>
      </c>
      <c r="F17" s="229">
        <f>'市县（因素法）'!V19</f>
        <v>38.15</v>
      </c>
      <c r="G17" s="229">
        <f>'市县（因素法）'!AE19</f>
        <v>0</v>
      </c>
      <c r="H17" s="229">
        <f>'市县（因素法）'!AO19</f>
        <v>0</v>
      </c>
      <c r="I17" s="229">
        <f>'市县（因素法）'!AS19</f>
        <v>0</v>
      </c>
      <c r="J17" s="229">
        <f>'市县（因素法）'!AZ19</f>
        <v>0</v>
      </c>
      <c r="K17" s="229">
        <f>'市县（因素法）'!BP19</f>
        <v>6.2</v>
      </c>
      <c r="L17" s="229">
        <f>'市县（因素法）'!BS19+'市县（因素法）'!BX19</f>
        <v>2.76</v>
      </c>
      <c r="M17" s="229">
        <f>'市县（因素法）'!CA19</f>
        <v>3</v>
      </c>
      <c r="N17" s="229"/>
      <c r="O17" s="229">
        <f>'市县（因素法）'!CB19</f>
        <v>0</v>
      </c>
      <c r="P17" s="229">
        <f>'市县（因素法）'!CC19</f>
        <v>0</v>
      </c>
      <c r="Q17" s="234"/>
      <c r="R17" s="235">
        <v>22.23</v>
      </c>
    </row>
    <row r="18" ht="22.05" customHeight="1" spans="1:18">
      <c r="A18" s="228" t="s">
        <v>119</v>
      </c>
      <c r="B18" s="229">
        <f t="shared" si="2"/>
        <v>246.64</v>
      </c>
      <c r="C18" s="229">
        <f>'市县（因素法）'!D20</f>
        <v>0</v>
      </c>
      <c r="D18" s="229">
        <f>'市县（因素法）'!H20</f>
        <v>115.92</v>
      </c>
      <c r="E18" s="229">
        <f>'市县（因素法）'!P20</f>
        <v>6.54</v>
      </c>
      <c r="F18" s="229">
        <f>'市县（因素法）'!V20</f>
        <v>35.63</v>
      </c>
      <c r="G18" s="229">
        <f>'市县（因素法）'!AE20</f>
        <v>6.16</v>
      </c>
      <c r="H18" s="229">
        <f>'市县（因素法）'!AO20</f>
        <v>5.06</v>
      </c>
      <c r="I18" s="229">
        <f>'市县（因素法）'!AS20</f>
        <v>0.76</v>
      </c>
      <c r="J18" s="229">
        <f>'市县（因素法）'!AZ20</f>
        <v>33.74</v>
      </c>
      <c r="K18" s="229">
        <f>'市县（因素法）'!BP20</f>
        <v>20.47</v>
      </c>
      <c r="L18" s="229">
        <f>'市县（因素法）'!BS20+'市县（因素法）'!BX20</f>
        <v>22.36</v>
      </c>
      <c r="M18" s="229">
        <f>'市县（因素法）'!CA20</f>
        <v>0</v>
      </c>
      <c r="N18" s="229"/>
      <c r="O18" s="229">
        <f>'市县（因素法）'!CB20</f>
        <v>0</v>
      </c>
      <c r="P18" s="229">
        <f>'市县（因素法）'!CC20</f>
        <v>0</v>
      </c>
      <c r="Q18" s="234"/>
      <c r="R18" s="235"/>
    </row>
    <row r="19" ht="22.05" customHeight="1" spans="1:18">
      <c r="A19" s="228" t="s">
        <v>120</v>
      </c>
      <c r="B19" s="229">
        <f t="shared" si="2"/>
        <v>442.92</v>
      </c>
      <c r="C19" s="229">
        <f>'市县（因素法）'!D25</f>
        <v>5.33</v>
      </c>
      <c r="D19" s="229">
        <f>'市县（因素法）'!H25</f>
        <v>210.8</v>
      </c>
      <c r="E19" s="229">
        <f>'市县（因素法）'!P25</f>
        <v>27.3</v>
      </c>
      <c r="F19" s="229">
        <f>'市县（因素法）'!V25</f>
        <v>68.47</v>
      </c>
      <c r="G19" s="229">
        <f>'市县（因素法）'!AE25</f>
        <v>1.5</v>
      </c>
      <c r="H19" s="229">
        <f>'市县（因素法）'!AO25</f>
        <v>2.97</v>
      </c>
      <c r="I19" s="229">
        <f>'市县（因素法）'!AS25</f>
        <v>9.49</v>
      </c>
      <c r="J19" s="229">
        <f>'市县（因素法）'!AZ25</f>
        <v>71.7</v>
      </c>
      <c r="K19" s="229">
        <f>'市县（因素法）'!BP25</f>
        <v>48</v>
      </c>
      <c r="L19" s="229">
        <f>'市县（因素法）'!BS25+'市县（因素法）'!BX25</f>
        <v>19.2</v>
      </c>
      <c r="M19" s="229">
        <f>'市县（因素法）'!CA25</f>
        <v>0</v>
      </c>
      <c r="N19" s="229"/>
      <c r="O19" s="229">
        <f>'市县（因素法）'!CB25</f>
        <v>0</v>
      </c>
      <c r="P19" s="229">
        <f>'市县（因素法）'!CC25</f>
        <v>0</v>
      </c>
      <c r="Q19" s="234"/>
      <c r="R19" s="235">
        <v>-21.84</v>
      </c>
    </row>
    <row r="20" ht="22.05" customHeight="1" spans="1:18">
      <c r="A20" s="228" t="s">
        <v>121</v>
      </c>
      <c r="B20" s="229">
        <f t="shared" ref="B20:B62" si="3">SUM(C20:R20)</f>
        <v>572.52</v>
      </c>
      <c r="C20" s="229">
        <f>'市县（因素法）'!D26</f>
        <v>15.21</v>
      </c>
      <c r="D20" s="229">
        <f>'市县（因素法）'!H26</f>
        <v>151.07</v>
      </c>
      <c r="E20" s="229">
        <f>'市县（因素法）'!P26</f>
        <v>53.12</v>
      </c>
      <c r="F20" s="229">
        <f>'市县（因素法）'!V26</f>
        <v>106.62</v>
      </c>
      <c r="G20" s="229">
        <f>'市县（因素法）'!AE26</f>
        <v>3.32</v>
      </c>
      <c r="H20" s="229">
        <f>'市县（因素法）'!AO26</f>
        <v>7.25</v>
      </c>
      <c r="I20" s="229">
        <f>'市县（因素法）'!AS26</f>
        <v>60.6</v>
      </c>
      <c r="J20" s="229">
        <f>'市县（因素法）'!AZ26</f>
        <v>92.72</v>
      </c>
      <c r="K20" s="229">
        <f>'市县（因素法）'!BP26</f>
        <v>50.06</v>
      </c>
      <c r="L20" s="229">
        <f>'市县（因素法）'!BS26+'市县（因素法）'!BX26</f>
        <v>31.82</v>
      </c>
      <c r="M20" s="229">
        <f>'市县（因素法）'!CA26</f>
        <v>0</v>
      </c>
      <c r="N20" s="229"/>
      <c r="O20" s="229">
        <f>'市县（因素法）'!CB26</f>
        <v>0</v>
      </c>
      <c r="P20" s="229">
        <f>'市县（因素法）'!CC26</f>
        <v>22</v>
      </c>
      <c r="Q20" s="234"/>
      <c r="R20" s="235">
        <v>-21.27</v>
      </c>
    </row>
    <row r="21" ht="22.05" customHeight="1" spans="1:18">
      <c r="A21" s="228" t="s">
        <v>122</v>
      </c>
      <c r="B21" s="229">
        <f t="shared" si="3"/>
        <v>533.19</v>
      </c>
      <c r="C21" s="229">
        <f>'市县（因素法）'!D27</f>
        <v>13.55</v>
      </c>
      <c r="D21" s="229">
        <f>'市县（因素法）'!H27</f>
        <v>148.77</v>
      </c>
      <c r="E21" s="229">
        <f>'市县（因素法）'!P27</f>
        <v>66.84</v>
      </c>
      <c r="F21" s="229">
        <f>'市县（因素法）'!V27</f>
        <v>53.31</v>
      </c>
      <c r="G21" s="229">
        <f>'市县（因素法）'!AE27</f>
        <v>1.86</v>
      </c>
      <c r="H21" s="229">
        <f>'市县（因素法）'!AO27</f>
        <v>32.5</v>
      </c>
      <c r="I21" s="229">
        <f>'市县（因素法）'!AS27</f>
        <v>36.91</v>
      </c>
      <c r="J21" s="229">
        <f>'市县（因素法）'!AZ27</f>
        <v>103.85</v>
      </c>
      <c r="K21" s="229">
        <f>'市县（因素法）'!BP27</f>
        <v>42.3</v>
      </c>
      <c r="L21" s="229">
        <f>'市县（因素法）'!BS27+'市县（因素法）'!BX27</f>
        <v>32.24</v>
      </c>
      <c r="M21" s="229">
        <f>'市县（因素法）'!CA27</f>
        <v>0</v>
      </c>
      <c r="N21" s="229"/>
      <c r="O21" s="229">
        <f>'市县（因素法）'!CB27</f>
        <v>10</v>
      </c>
      <c r="P21" s="229">
        <f>'市县（因素法）'!CC27</f>
        <v>0</v>
      </c>
      <c r="Q21" s="234"/>
      <c r="R21" s="235">
        <v>-8.94</v>
      </c>
    </row>
    <row r="22" ht="22.05" customHeight="1" spans="1:18">
      <c r="A22" s="228" t="s">
        <v>123</v>
      </c>
      <c r="B22" s="229">
        <f t="shared" si="3"/>
        <v>338.98</v>
      </c>
      <c r="C22" s="229">
        <f>'市县（因素法）'!D28</f>
        <v>6.85</v>
      </c>
      <c r="D22" s="229">
        <f>'市县（因素法）'!H28</f>
        <v>90.18</v>
      </c>
      <c r="E22" s="229">
        <f>'市县（因素法）'!P28</f>
        <v>19.56</v>
      </c>
      <c r="F22" s="229">
        <f>'市县（因素法）'!V28</f>
        <v>47.06</v>
      </c>
      <c r="G22" s="229">
        <f>'市县（因素法）'!AE28</f>
        <v>12.84</v>
      </c>
      <c r="H22" s="229">
        <f>'市县（因素法）'!AO28</f>
        <v>0</v>
      </c>
      <c r="I22" s="229">
        <f>'市县（因素法）'!AS28</f>
        <v>10.1</v>
      </c>
      <c r="J22" s="229">
        <f>'市县（因素法）'!AZ28</f>
        <v>79.1</v>
      </c>
      <c r="K22" s="229">
        <f>'市县（因素法）'!BP28</f>
        <v>44.11</v>
      </c>
      <c r="L22" s="229">
        <f>'市县（因素法）'!BS28+'市县（因素法）'!BX28</f>
        <v>26.18</v>
      </c>
      <c r="M22" s="229">
        <f>'市县（因素法）'!CA28</f>
        <v>3</v>
      </c>
      <c r="N22" s="229"/>
      <c r="O22" s="229">
        <f>'市县（因素法）'!CB28</f>
        <v>0</v>
      </c>
      <c r="P22" s="229">
        <f>'市县（因素法）'!CC28</f>
        <v>0</v>
      </c>
      <c r="Q22" s="234"/>
      <c r="R22" s="235"/>
    </row>
    <row r="23" ht="22.05" customHeight="1" spans="1:18">
      <c r="A23" s="228" t="s">
        <v>124</v>
      </c>
      <c r="B23" s="229">
        <f t="shared" si="3"/>
        <v>520.08</v>
      </c>
      <c r="C23" s="229">
        <f>'市县（因素法）'!D29</f>
        <v>8.61</v>
      </c>
      <c r="D23" s="229">
        <f>'市县（因素法）'!H29</f>
        <v>170.02</v>
      </c>
      <c r="E23" s="229">
        <f>'市县（因素法）'!P29</f>
        <v>34.4</v>
      </c>
      <c r="F23" s="229">
        <f>'市县（因素法）'!V29</f>
        <v>113.53</v>
      </c>
      <c r="G23" s="229">
        <f>'市县（因素法）'!AE29</f>
        <v>17.77</v>
      </c>
      <c r="H23" s="229">
        <f>'市县（因素法）'!AO29</f>
        <v>13.48</v>
      </c>
      <c r="I23" s="229">
        <f>'市县（因素法）'!AS29</f>
        <v>7.32</v>
      </c>
      <c r="J23" s="229">
        <f>'市县（因素法）'!AZ29</f>
        <v>91.62</v>
      </c>
      <c r="K23" s="229">
        <f>'市县（因素法）'!BP29</f>
        <v>41.55</v>
      </c>
      <c r="L23" s="229">
        <f>'市县（因素法）'!BS29+'市县（因素法）'!BX29</f>
        <v>34.44</v>
      </c>
      <c r="M23" s="229">
        <f>'市县（因素法）'!CA29</f>
        <v>3</v>
      </c>
      <c r="N23" s="229"/>
      <c r="O23" s="229">
        <f>'市县（因素法）'!CB29</f>
        <v>0</v>
      </c>
      <c r="P23" s="229">
        <f>'市县（因素法）'!CC29</f>
        <v>3</v>
      </c>
      <c r="Q23" s="234"/>
      <c r="R23" s="235">
        <v>-18.66</v>
      </c>
    </row>
    <row r="24" ht="22.05" customHeight="1" spans="1:18">
      <c r="A24" s="228" t="s">
        <v>125</v>
      </c>
      <c r="B24" s="229">
        <f t="shared" si="3"/>
        <v>341.46</v>
      </c>
      <c r="C24" s="229">
        <f>'市县（因素法）'!D30</f>
        <v>5.72</v>
      </c>
      <c r="D24" s="229">
        <f>'市县（因素法）'!H30</f>
        <v>58.01</v>
      </c>
      <c r="E24" s="229">
        <f>'市县（因素法）'!P30</f>
        <v>114.42</v>
      </c>
      <c r="F24" s="229">
        <f>'市县（因素法）'!V30</f>
        <v>59.43</v>
      </c>
      <c r="G24" s="229">
        <f>'市县（因素法）'!AE30</f>
        <v>1.11</v>
      </c>
      <c r="H24" s="229">
        <f>'市县（因素法）'!AO30</f>
        <v>3.43</v>
      </c>
      <c r="I24" s="229">
        <f>'市县（因素法）'!AS30</f>
        <v>2.55</v>
      </c>
      <c r="J24" s="229">
        <f>'市县（因素法）'!AZ30</f>
        <v>45.53</v>
      </c>
      <c r="K24" s="229">
        <f>'市县（因素法）'!BP30</f>
        <v>33.65</v>
      </c>
      <c r="L24" s="229">
        <f>'市县（因素法）'!BS30+'市县（因素法）'!BX30</f>
        <v>14.87</v>
      </c>
      <c r="M24" s="229">
        <f>'市县（因素法）'!CA30</f>
        <v>0</v>
      </c>
      <c r="N24" s="229"/>
      <c r="O24" s="229">
        <f>'市县（因素法）'!CB30</f>
        <v>10</v>
      </c>
      <c r="P24" s="229">
        <f>'市县（因素法）'!CC30</f>
        <v>0</v>
      </c>
      <c r="Q24" s="234"/>
      <c r="R24" s="235">
        <v>-7.26</v>
      </c>
    </row>
    <row r="25" ht="22.05" customHeight="1" spans="1:18">
      <c r="A25" s="228" t="s">
        <v>126</v>
      </c>
      <c r="B25" s="229">
        <f t="shared" si="3"/>
        <v>252.54</v>
      </c>
      <c r="C25" s="229">
        <f>'市县（因素法）'!D31</f>
        <v>7.42</v>
      </c>
      <c r="D25" s="229">
        <f>'市县（因素法）'!H31</f>
        <v>76.68</v>
      </c>
      <c r="E25" s="229">
        <f>'市县（因素法）'!P31</f>
        <v>5.49</v>
      </c>
      <c r="F25" s="229">
        <f>'市县（因素法）'!V31</f>
        <v>64.21</v>
      </c>
      <c r="G25" s="229">
        <f>'市县（因素法）'!AE31</f>
        <v>1.86</v>
      </c>
      <c r="H25" s="229">
        <f>'市县（因素法）'!AO31</f>
        <v>9.69</v>
      </c>
      <c r="I25" s="229">
        <f>'市县（因素法）'!AS31</f>
        <v>7.46</v>
      </c>
      <c r="J25" s="229">
        <f>'市县（因素法）'!AZ31</f>
        <v>47.17</v>
      </c>
      <c r="K25" s="229">
        <f>'市县（因素法）'!BP31</f>
        <v>30.81</v>
      </c>
      <c r="L25" s="229">
        <f>'市县（因素法）'!BS31+'市县（因素法）'!BX31</f>
        <v>13.16</v>
      </c>
      <c r="M25" s="229">
        <f>'市县（因素法）'!CA31</f>
        <v>0</v>
      </c>
      <c r="N25" s="229"/>
      <c r="O25" s="229">
        <f>'市县（因素法）'!CB31</f>
        <v>0</v>
      </c>
      <c r="P25" s="229">
        <f>'市县（因素法）'!CC31</f>
        <v>0</v>
      </c>
      <c r="Q25" s="234"/>
      <c r="R25" s="235">
        <v>-11.41</v>
      </c>
    </row>
    <row r="26" ht="22.05" customHeight="1" spans="1:18">
      <c r="A26" s="228" t="s">
        <v>127</v>
      </c>
      <c r="B26" s="229">
        <f t="shared" si="3"/>
        <v>251.82</v>
      </c>
      <c r="C26" s="229">
        <f>'市县（因素法）'!D32</f>
        <v>3.49</v>
      </c>
      <c r="D26" s="229">
        <f>'市县（因素法）'!H32</f>
        <v>77.01</v>
      </c>
      <c r="E26" s="229">
        <f>'市县（因素法）'!P32</f>
        <v>16.14</v>
      </c>
      <c r="F26" s="229">
        <f>'市县（因素法）'!V32</f>
        <v>65.54</v>
      </c>
      <c r="G26" s="229">
        <f>'市县（因素法）'!AE32</f>
        <v>1.86</v>
      </c>
      <c r="H26" s="229">
        <f>'市县（因素法）'!AO32</f>
        <v>8.79</v>
      </c>
      <c r="I26" s="229">
        <f>'市县（因素法）'!AS32</f>
        <v>2</v>
      </c>
      <c r="J26" s="229">
        <f>'市县（因素法）'!AZ32</f>
        <v>26.22</v>
      </c>
      <c r="K26" s="229">
        <f>'市县（因素法）'!BP32</f>
        <v>38.19</v>
      </c>
      <c r="L26" s="229">
        <f>'市县（因素法）'!BS32+'市县（因素法）'!BX32</f>
        <v>21.72</v>
      </c>
      <c r="M26" s="229">
        <f>'市县（因素法）'!CA32</f>
        <v>0</v>
      </c>
      <c r="N26" s="229"/>
      <c r="O26" s="229">
        <f>'市县（因素法）'!CB32</f>
        <v>0</v>
      </c>
      <c r="P26" s="229">
        <f>'市县（因素法）'!CC32</f>
        <v>0</v>
      </c>
      <c r="Q26" s="234"/>
      <c r="R26" s="235">
        <v>-9.14</v>
      </c>
    </row>
    <row r="27" ht="22.05" customHeight="1" spans="1:18">
      <c r="A27" s="227" t="s">
        <v>128</v>
      </c>
      <c r="B27" s="226">
        <f>SUM(B28:B62)</f>
        <v>2808.33</v>
      </c>
      <c r="C27" s="226">
        <f>SUM(C28:C62)</f>
        <v>86.56</v>
      </c>
      <c r="D27" s="226">
        <f t="shared" ref="C27:R27" si="4">SUM(D28:D62)</f>
        <v>1148.52</v>
      </c>
      <c r="E27" s="226">
        <f t="shared" si="4"/>
        <v>194.07</v>
      </c>
      <c r="F27" s="226">
        <f t="shared" si="4"/>
        <v>4.65</v>
      </c>
      <c r="G27" s="226">
        <f t="shared" si="4"/>
        <v>138.48</v>
      </c>
      <c r="H27" s="226">
        <f t="shared" si="4"/>
        <v>66.29</v>
      </c>
      <c r="I27" s="226">
        <f t="shared" si="4"/>
        <v>200.79</v>
      </c>
      <c r="J27" s="226">
        <f t="shared" si="4"/>
        <v>303.69</v>
      </c>
      <c r="K27" s="226">
        <f t="shared" si="4"/>
        <v>261.74</v>
      </c>
      <c r="L27" s="226">
        <f t="shared" si="4"/>
        <v>328.97</v>
      </c>
      <c r="M27" s="226">
        <f t="shared" si="4"/>
        <v>0</v>
      </c>
      <c r="N27" s="226">
        <f t="shared" si="4"/>
        <v>0</v>
      </c>
      <c r="O27" s="226">
        <f t="shared" si="4"/>
        <v>0</v>
      </c>
      <c r="P27" s="226">
        <f t="shared" si="4"/>
        <v>19</v>
      </c>
      <c r="Q27" s="226">
        <f t="shared" si="4"/>
        <v>0</v>
      </c>
      <c r="R27" s="226">
        <f t="shared" si="4"/>
        <v>55.57</v>
      </c>
    </row>
    <row r="28" ht="22.05" customHeight="1" spans="1:18">
      <c r="A28" s="228" t="s">
        <v>129</v>
      </c>
      <c r="B28" s="229">
        <f t="shared" si="3"/>
        <v>11.39</v>
      </c>
      <c r="C28" s="229">
        <f>'市县（因素法）'!D34</f>
        <v>0.18</v>
      </c>
      <c r="D28" s="229">
        <f>'市县（因素法）'!H34</f>
        <v>2.3</v>
      </c>
      <c r="E28" s="229">
        <f>'市县（因素法）'!P34</f>
        <v>0</v>
      </c>
      <c r="F28" s="229">
        <f>'市县（因素法）'!V34</f>
        <v>0</v>
      </c>
      <c r="G28" s="229">
        <f>'市县（因素法）'!AE34</f>
        <v>2.48</v>
      </c>
      <c r="H28" s="229">
        <f>'市县（因素法）'!AO34</f>
        <v>0.51</v>
      </c>
      <c r="I28" s="229">
        <f>'市县（因素法）'!AS34</f>
        <v>0.03</v>
      </c>
      <c r="J28" s="229">
        <f>'市县（因素法）'!AZ34</f>
        <v>1.07</v>
      </c>
      <c r="K28" s="229">
        <f>'市县（因素法）'!BP34</f>
        <v>1.19</v>
      </c>
      <c r="L28" s="229">
        <f>'市县（因素法）'!BS34+'市县（因素法）'!BX34</f>
        <v>4.07</v>
      </c>
      <c r="M28" s="229">
        <f>'市县（因素法）'!CA34</f>
        <v>0</v>
      </c>
      <c r="N28" s="229"/>
      <c r="O28" s="229">
        <f>'市县（因素法）'!CB34</f>
        <v>0</v>
      </c>
      <c r="P28" s="229">
        <f>'市县（因素法）'!CC34</f>
        <v>0</v>
      </c>
      <c r="Q28" s="234"/>
      <c r="R28" s="235">
        <v>-0.44</v>
      </c>
    </row>
    <row r="29" ht="22.05" customHeight="1" spans="1:18">
      <c r="A29" s="228" t="s">
        <v>130</v>
      </c>
      <c r="B29" s="229">
        <f t="shared" si="3"/>
        <v>58.13</v>
      </c>
      <c r="C29" s="229">
        <f>'市县（因素法）'!D35</f>
        <v>0.94</v>
      </c>
      <c r="D29" s="229">
        <f>'市县（因素法）'!H35</f>
        <v>15.51</v>
      </c>
      <c r="E29" s="229">
        <f>'市县（因素法）'!P35</f>
        <v>1.06</v>
      </c>
      <c r="F29" s="229">
        <f>'市县（因素法）'!V35</f>
        <v>0</v>
      </c>
      <c r="G29" s="229">
        <f>'市县（因素法）'!AE35</f>
        <v>6.16</v>
      </c>
      <c r="H29" s="229">
        <f>'市县（因素法）'!AO35</f>
        <v>1.01</v>
      </c>
      <c r="I29" s="229">
        <f>'市县（因素法）'!AS35</f>
        <v>0.15</v>
      </c>
      <c r="J29" s="229">
        <f>'市县（因素法）'!AZ35</f>
        <v>5.77</v>
      </c>
      <c r="K29" s="229">
        <f>'市县（因素法）'!BP35</f>
        <v>17.36</v>
      </c>
      <c r="L29" s="229">
        <f>'市县（因素法）'!BS35+'市县（因素法）'!BX35</f>
        <v>10.17</v>
      </c>
      <c r="M29" s="229">
        <f>'市县（因素法）'!CA35</f>
        <v>0</v>
      </c>
      <c r="N29" s="229"/>
      <c r="O29" s="229">
        <f>'市县（因素法）'!CB35</f>
        <v>0</v>
      </c>
      <c r="P29" s="229">
        <f>'市县（因素法）'!CC35</f>
        <v>0</v>
      </c>
      <c r="Q29" s="234"/>
      <c r="R29" s="235"/>
    </row>
    <row r="30" ht="22.05" customHeight="1" spans="1:18">
      <c r="A30" s="228" t="s">
        <v>131</v>
      </c>
      <c r="B30" s="229">
        <f t="shared" si="3"/>
        <v>50.99</v>
      </c>
      <c r="C30" s="229">
        <f>'市县（因素法）'!D36</f>
        <v>0.55</v>
      </c>
      <c r="D30" s="229">
        <f>'市县（因素法）'!H36</f>
        <v>8.33</v>
      </c>
      <c r="E30" s="229">
        <f>'市县（因素法）'!P36</f>
        <v>0.49</v>
      </c>
      <c r="F30" s="229">
        <f>'市县（因素法）'!V36</f>
        <v>0</v>
      </c>
      <c r="G30" s="229">
        <f>'市县（因素法）'!AE36</f>
        <v>23.46</v>
      </c>
      <c r="H30" s="229">
        <f>'市县（因素法）'!AO36</f>
        <v>0.51</v>
      </c>
      <c r="I30" s="229">
        <f>'市县（因素法）'!AS36</f>
        <v>0.1</v>
      </c>
      <c r="J30" s="229">
        <f>'市县（因素法）'!AZ36</f>
        <v>3.23</v>
      </c>
      <c r="K30" s="229">
        <f>'市县（因素法）'!BP36</f>
        <v>7.29</v>
      </c>
      <c r="L30" s="229">
        <f>'市县（因素法）'!BS36+'市县（因素法）'!BX36</f>
        <v>7.03</v>
      </c>
      <c r="M30" s="229">
        <f>'市县（因素法）'!CA36</f>
        <v>0</v>
      </c>
      <c r="N30" s="229"/>
      <c r="O30" s="229">
        <f>'市县（因素法）'!CB36</f>
        <v>0</v>
      </c>
      <c r="P30" s="229">
        <f>'市县（因素法）'!CC36</f>
        <v>0</v>
      </c>
      <c r="Q30" s="234"/>
      <c r="R30" s="235"/>
    </row>
    <row r="31" ht="22.05" customHeight="1" spans="1:18">
      <c r="A31" s="230" t="s">
        <v>132</v>
      </c>
      <c r="B31" s="229">
        <f t="shared" si="3"/>
        <v>42.44</v>
      </c>
      <c r="C31" s="229">
        <f>'市县（因素法）'!D37</f>
        <v>0.62</v>
      </c>
      <c r="D31" s="229">
        <f>'市县（因素法）'!H37</f>
        <v>9.48</v>
      </c>
      <c r="E31" s="229">
        <f>'市县（因素法）'!P37</f>
        <v>0.84</v>
      </c>
      <c r="F31" s="229">
        <f>'市县（因素法）'!V37</f>
        <v>0</v>
      </c>
      <c r="G31" s="229">
        <f>'市县（因素法）'!AE37</f>
        <v>0</v>
      </c>
      <c r="H31" s="229">
        <f>'市县（因素法）'!AO37</f>
        <v>1.01</v>
      </c>
      <c r="I31" s="229">
        <f>'市县（因素法）'!AS37</f>
        <v>0.08</v>
      </c>
      <c r="J31" s="229">
        <f>'市县（因素法）'!AZ37</f>
        <v>2.91</v>
      </c>
      <c r="K31" s="229">
        <f>'市县（因素法）'!BP37</f>
        <v>17.36</v>
      </c>
      <c r="L31" s="229">
        <f>'市县（因素法）'!BS37+'市县（因素法）'!BX37</f>
        <v>6.87</v>
      </c>
      <c r="M31" s="229">
        <f>'市县（因素法）'!CA37</f>
        <v>0</v>
      </c>
      <c r="N31" s="229"/>
      <c r="O31" s="229">
        <f>'市县（因素法）'!CB37</f>
        <v>0</v>
      </c>
      <c r="P31" s="229">
        <f>'市县（因素法）'!CC37</f>
        <v>0</v>
      </c>
      <c r="Q31" s="234"/>
      <c r="R31" s="235">
        <v>3.27</v>
      </c>
    </row>
    <row r="32" ht="22.05" customHeight="1" spans="1:18">
      <c r="A32" s="228" t="s">
        <v>133</v>
      </c>
      <c r="B32" s="229">
        <f t="shared" si="3"/>
        <v>44.82</v>
      </c>
      <c r="C32" s="229">
        <f>'市县（因素法）'!D38</f>
        <v>1.15</v>
      </c>
      <c r="D32" s="229">
        <f>'市县（因素法）'!H38</f>
        <v>14.93</v>
      </c>
      <c r="E32" s="229">
        <f>'市县（因素法）'!P38</f>
        <v>0.56</v>
      </c>
      <c r="F32" s="229">
        <f>'市县（因素法）'!V38</f>
        <v>0</v>
      </c>
      <c r="G32" s="229">
        <f>'市县（因素法）'!AE38</f>
        <v>2.48</v>
      </c>
      <c r="H32" s="229">
        <f>'市县（因素法）'!AO38</f>
        <v>0.51</v>
      </c>
      <c r="I32" s="229">
        <f>'市县（因素法）'!AS38</f>
        <v>0.16</v>
      </c>
      <c r="J32" s="229">
        <f>'市县（因素法）'!AZ38</f>
        <v>4.47</v>
      </c>
      <c r="K32" s="229">
        <f>'市县（因素法）'!BP38</f>
        <v>14.35</v>
      </c>
      <c r="L32" s="229">
        <f>'市县（因素法）'!BS38+'市县（因素法）'!BX38</f>
        <v>6.21</v>
      </c>
      <c r="M32" s="229">
        <f>'市县（因素法）'!CA38</f>
        <v>0</v>
      </c>
      <c r="N32" s="229"/>
      <c r="O32" s="229">
        <f>'市县（因素法）'!CB38</f>
        <v>0</v>
      </c>
      <c r="P32" s="229">
        <f>'市县（因素法）'!CC38</f>
        <v>0</v>
      </c>
      <c r="Q32" s="234"/>
      <c r="R32" s="235"/>
    </row>
    <row r="33" ht="22.05" customHeight="1" spans="1:18">
      <c r="A33" s="228" t="s">
        <v>134</v>
      </c>
      <c r="B33" s="229">
        <f t="shared" si="3"/>
        <v>48.31</v>
      </c>
      <c r="C33" s="229">
        <f>'市县（因素法）'!D39</f>
        <v>1.8</v>
      </c>
      <c r="D33" s="229">
        <f>'市县（因素法）'!H39</f>
        <v>21.54</v>
      </c>
      <c r="E33" s="229">
        <f>'市县（因素法）'!P39</f>
        <v>1.2</v>
      </c>
      <c r="F33" s="229">
        <f>'市县（因素法）'!V39</f>
        <v>0</v>
      </c>
      <c r="G33" s="229">
        <f>'市县（因素法）'!AE39</f>
        <v>2.48</v>
      </c>
      <c r="H33" s="229">
        <f>'市县（因素法）'!AO39</f>
        <v>0.51</v>
      </c>
      <c r="I33" s="229">
        <f>'市县（因素法）'!AS39</f>
        <v>1.18</v>
      </c>
      <c r="J33" s="229">
        <f>'市县（因素法）'!AZ39</f>
        <v>7.44</v>
      </c>
      <c r="K33" s="229">
        <f>'市县（因素法）'!BP39</f>
        <v>4.2</v>
      </c>
      <c r="L33" s="229">
        <f>'市县（因素法）'!BS39+'市县（因素法）'!BX39</f>
        <v>9.84</v>
      </c>
      <c r="M33" s="229">
        <f>'市县（因素法）'!CA39</f>
        <v>0</v>
      </c>
      <c r="N33" s="229"/>
      <c r="O33" s="229">
        <f>'市县（因素法）'!CB39</f>
        <v>0</v>
      </c>
      <c r="P33" s="229">
        <f>'市县（因素法）'!CC39</f>
        <v>0</v>
      </c>
      <c r="Q33" s="234"/>
      <c r="R33" s="235">
        <v>-1.88</v>
      </c>
    </row>
    <row r="34" ht="22.05" customHeight="1" spans="1:18">
      <c r="A34" s="228" t="s">
        <v>135</v>
      </c>
      <c r="B34" s="229">
        <f t="shared" si="3"/>
        <v>66.25</v>
      </c>
      <c r="C34" s="229">
        <f>'市县（因素法）'!D40</f>
        <v>1.82</v>
      </c>
      <c r="D34" s="229">
        <f>'市县（因素法）'!H40</f>
        <v>26.71</v>
      </c>
      <c r="E34" s="229">
        <f>'市县（因素法）'!P40</f>
        <v>1.76</v>
      </c>
      <c r="F34" s="229">
        <f>'市县（因素法）'!V40</f>
        <v>0</v>
      </c>
      <c r="G34" s="229">
        <f>'市县（因素法）'!AE40</f>
        <v>0</v>
      </c>
      <c r="H34" s="229">
        <f>'市县（因素法）'!AO40</f>
        <v>0.51</v>
      </c>
      <c r="I34" s="229">
        <f>'市县（因素法）'!AS40</f>
        <v>2.95</v>
      </c>
      <c r="J34" s="229">
        <f>'市县（因素法）'!AZ40</f>
        <v>10.54</v>
      </c>
      <c r="K34" s="229">
        <f>'市县（因素法）'!BP40</f>
        <v>1.19</v>
      </c>
      <c r="L34" s="229">
        <f>'市县（因素法）'!BS40+'市县（因素法）'!BX40</f>
        <v>12.22</v>
      </c>
      <c r="M34" s="229">
        <f>'市县（因素法）'!CA40</f>
        <v>0</v>
      </c>
      <c r="N34" s="229"/>
      <c r="O34" s="229">
        <f>'市县（因素法）'!CB40</f>
        <v>0</v>
      </c>
      <c r="P34" s="229">
        <f>'市县（因素法）'!CC40</f>
        <v>0</v>
      </c>
      <c r="Q34" s="234"/>
      <c r="R34" s="235">
        <v>8.55</v>
      </c>
    </row>
    <row r="35" ht="22.05" customHeight="1" spans="1:18">
      <c r="A35" s="228" t="s">
        <v>136</v>
      </c>
      <c r="B35" s="229">
        <f t="shared" si="3"/>
        <v>59.76</v>
      </c>
      <c r="C35" s="229">
        <f>'市县（因素法）'!D41</f>
        <v>0.88</v>
      </c>
      <c r="D35" s="229">
        <f>'市县（因素法）'!H41</f>
        <v>13.21</v>
      </c>
      <c r="E35" s="229">
        <f>'市县（因素法）'!P41</f>
        <v>0.63</v>
      </c>
      <c r="F35" s="229">
        <f>'市县（因素法）'!V41</f>
        <v>0</v>
      </c>
      <c r="G35" s="229">
        <f>'市县（因素法）'!AE41</f>
        <v>2.48</v>
      </c>
      <c r="H35" s="229">
        <f>'市县（因素法）'!AO41</f>
        <v>0.51</v>
      </c>
      <c r="I35" s="229">
        <f>'市县（因素法）'!AS41</f>
        <v>0.16</v>
      </c>
      <c r="J35" s="229">
        <f>'市县（因素法）'!AZ41</f>
        <v>5.08</v>
      </c>
      <c r="K35" s="229">
        <f>'市县（因素法）'!BP41</f>
        <v>20.37</v>
      </c>
      <c r="L35" s="229">
        <f>'市县（因素法）'!BS41+'市县（因素法）'!BX41</f>
        <v>8.85</v>
      </c>
      <c r="M35" s="229">
        <f>'市县（因素法）'!CA41</f>
        <v>0</v>
      </c>
      <c r="N35" s="229"/>
      <c r="O35" s="229">
        <f>'市县（因素法）'!CB41</f>
        <v>0</v>
      </c>
      <c r="P35" s="229">
        <f>'市县（因素法）'!CC41</f>
        <v>0</v>
      </c>
      <c r="Q35" s="234"/>
      <c r="R35" s="235">
        <v>7.59</v>
      </c>
    </row>
    <row r="36" ht="22.05" customHeight="1" spans="1:18">
      <c r="A36" s="228" t="s">
        <v>137</v>
      </c>
      <c r="B36" s="229">
        <f t="shared" si="3"/>
        <v>76.79</v>
      </c>
      <c r="C36" s="229">
        <f>'市县（因素法）'!D42</f>
        <v>2.11</v>
      </c>
      <c r="D36" s="229">
        <f>'市县（因素法）'!H42</f>
        <v>31.88</v>
      </c>
      <c r="E36" s="229">
        <f>'市县（因素法）'!P42</f>
        <v>2.6</v>
      </c>
      <c r="F36" s="229">
        <f>'市县（因素法）'!V42</f>
        <v>0</v>
      </c>
      <c r="G36" s="229">
        <f>'市县（因素法）'!AE42</f>
        <v>0</v>
      </c>
      <c r="H36" s="229">
        <f>'市县（因素法）'!AO42</f>
        <v>1.01</v>
      </c>
      <c r="I36" s="229">
        <f>'市县（因素法）'!AS42</f>
        <v>2.19</v>
      </c>
      <c r="J36" s="229">
        <f>'市县（因素法）'!AZ42</f>
        <v>10.36</v>
      </c>
      <c r="K36" s="229">
        <f>'市县（因素法）'!BP42</f>
        <v>7.29</v>
      </c>
      <c r="L36" s="229">
        <f>'市县（因素法）'!BS42+'市县（因素法）'!BX42</f>
        <v>10.17</v>
      </c>
      <c r="M36" s="229">
        <f>'市县（因素法）'!CA42</f>
        <v>0</v>
      </c>
      <c r="N36" s="229"/>
      <c r="O36" s="229">
        <f>'市县（因素法）'!CB42</f>
        <v>0</v>
      </c>
      <c r="P36" s="229">
        <f>'市县（因素法）'!CC42</f>
        <v>0</v>
      </c>
      <c r="Q36" s="234"/>
      <c r="R36" s="235">
        <v>9.18</v>
      </c>
    </row>
    <row r="37" ht="22.05" customHeight="1" spans="1:18">
      <c r="A37" s="228" t="s">
        <v>138</v>
      </c>
      <c r="B37" s="229">
        <f t="shared" si="3"/>
        <v>65.49</v>
      </c>
      <c r="C37" s="229">
        <f>'市县（因素法）'!D43</f>
        <v>3.24</v>
      </c>
      <c r="D37" s="229">
        <f>'市县（因素法）'!H43</f>
        <v>33.03</v>
      </c>
      <c r="E37" s="229">
        <f>'市县（因素法）'!P43</f>
        <v>3.31</v>
      </c>
      <c r="F37" s="229">
        <f>'市县（因素法）'!V43</f>
        <v>0</v>
      </c>
      <c r="G37" s="229">
        <f>'市县（因素法）'!AE43</f>
        <v>0</v>
      </c>
      <c r="H37" s="229">
        <f>'市县（因素法）'!AO43</f>
        <v>0.51</v>
      </c>
      <c r="I37" s="229">
        <f>'市县（因素法）'!AS43</f>
        <v>3.12</v>
      </c>
      <c r="J37" s="229">
        <f>'市县（因素法）'!AZ43</f>
        <v>10.84</v>
      </c>
      <c r="K37" s="229">
        <f>'市县（因素法）'!BP43</f>
        <v>4.2</v>
      </c>
      <c r="L37" s="229">
        <f>'市县（因素法）'!BS43+'市县（因素法）'!BX43</f>
        <v>9.84</v>
      </c>
      <c r="M37" s="229">
        <f>'市县（因素法）'!CA43</f>
        <v>0</v>
      </c>
      <c r="N37" s="229"/>
      <c r="O37" s="229">
        <f>'市县（因素法）'!CB43</f>
        <v>0</v>
      </c>
      <c r="P37" s="229">
        <f>'市县（因素法）'!CC43</f>
        <v>0</v>
      </c>
      <c r="Q37" s="234"/>
      <c r="R37" s="235">
        <v>-2.6</v>
      </c>
    </row>
    <row r="38" ht="22.05" customHeight="1" spans="1:18">
      <c r="A38" s="228" t="s">
        <v>139</v>
      </c>
      <c r="B38" s="229">
        <f t="shared" si="3"/>
        <v>36.24</v>
      </c>
      <c r="C38" s="229">
        <f>'市县（因素法）'!D44</f>
        <v>1.29</v>
      </c>
      <c r="D38" s="229">
        <f>'市县（因素法）'!H44</f>
        <v>16.08</v>
      </c>
      <c r="E38" s="229">
        <f>'市县（因素法）'!P44</f>
        <v>1.27</v>
      </c>
      <c r="F38" s="229">
        <f>'市县（因素法）'!V44</f>
        <v>0</v>
      </c>
      <c r="G38" s="229">
        <f>'市县（因素法）'!AE44</f>
        <v>0</v>
      </c>
      <c r="H38" s="229">
        <f>'市县（因素法）'!AO44</f>
        <v>0.51</v>
      </c>
      <c r="I38" s="229">
        <f>'市县（因素法）'!AS44</f>
        <v>0.66</v>
      </c>
      <c r="J38" s="229">
        <f>'市县（因素法）'!AZ44</f>
        <v>6.48</v>
      </c>
      <c r="K38" s="229">
        <f>'市县（因素法）'!BP44</f>
        <v>1.19</v>
      </c>
      <c r="L38" s="229">
        <f>'市县（因素法）'!BS44+'市县（因素法）'!BX44</f>
        <v>9.84</v>
      </c>
      <c r="M38" s="229">
        <f>'市县（因素法）'!CA44</f>
        <v>0</v>
      </c>
      <c r="N38" s="229"/>
      <c r="O38" s="229">
        <f>'市县（因素法）'!CB44</f>
        <v>0</v>
      </c>
      <c r="P38" s="229">
        <f>'市县（因素法）'!CC44</f>
        <v>0</v>
      </c>
      <c r="Q38" s="234"/>
      <c r="R38" s="235">
        <v>-1.08</v>
      </c>
    </row>
    <row r="39" ht="22.05" customHeight="1" spans="1:18">
      <c r="A39" s="228" t="s">
        <v>140</v>
      </c>
      <c r="B39" s="229">
        <f t="shared" si="3"/>
        <v>33.71</v>
      </c>
      <c r="C39" s="229">
        <f>'市县（因素法）'!D45</f>
        <v>0.8</v>
      </c>
      <c r="D39" s="229">
        <f>'市县（因素法）'!H45</f>
        <v>13.21</v>
      </c>
      <c r="E39" s="229">
        <f>'市县（因素法）'!P45</f>
        <v>0.84</v>
      </c>
      <c r="F39" s="229">
        <f>'市县（因素法）'!V45</f>
        <v>0</v>
      </c>
      <c r="G39" s="229">
        <f>'市县（因素法）'!AE45</f>
        <v>0</v>
      </c>
      <c r="H39" s="229">
        <f>'市县（因素法）'!AO45</f>
        <v>0.51</v>
      </c>
      <c r="I39" s="229">
        <f>'市县（因素法）'!AS45</f>
        <v>1.04</v>
      </c>
      <c r="J39" s="229">
        <f>'市县（因素法）'!AZ45</f>
        <v>5.67</v>
      </c>
      <c r="K39" s="229">
        <f>'市县（因素法）'!BP45</f>
        <v>4.2</v>
      </c>
      <c r="L39" s="229">
        <f>'市县（因素法）'!BS45+'市县（因素法）'!BX45</f>
        <v>8.85</v>
      </c>
      <c r="M39" s="229">
        <f>'市县（因素法）'!CA45</f>
        <v>0</v>
      </c>
      <c r="N39" s="229"/>
      <c r="O39" s="229">
        <f>'市县（因素法）'!CB45</f>
        <v>0</v>
      </c>
      <c r="P39" s="229">
        <f>'市县（因素法）'!CC45</f>
        <v>0</v>
      </c>
      <c r="Q39" s="234"/>
      <c r="R39" s="235">
        <v>-1.41</v>
      </c>
    </row>
    <row r="40" ht="22.05" customHeight="1" spans="1:18">
      <c r="A40" s="228" t="s">
        <v>141</v>
      </c>
      <c r="B40" s="229">
        <f t="shared" si="3"/>
        <v>95.06</v>
      </c>
      <c r="C40" s="229">
        <f>'市县（因素法）'!D46</f>
        <v>3.96</v>
      </c>
      <c r="D40" s="229">
        <f>'市县（因素法）'!H46</f>
        <v>43.65</v>
      </c>
      <c r="E40" s="229">
        <f>'市县（因素法）'!P46</f>
        <v>1.27</v>
      </c>
      <c r="F40" s="229">
        <f>'市县（因素法）'!V46</f>
        <v>0</v>
      </c>
      <c r="G40" s="229">
        <f>'市县（因素法）'!AE46</f>
        <v>2.48</v>
      </c>
      <c r="H40" s="229">
        <f>'市县（因素法）'!AO46</f>
        <v>0.51</v>
      </c>
      <c r="I40" s="229">
        <f>'市县（因素法）'!AS46</f>
        <v>10.97</v>
      </c>
      <c r="J40" s="229">
        <f>'市县（因素法）'!AZ46</f>
        <v>9.29</v>
      </c>
      <c r="K40" s="229">
        <f>'市县（因素法）'!BP46</f>
        <v>1.93</v>
      </c>
      <c r="L40" s="229">
        <f>'市县（因素法）'!BS46+'市县（因素法）'!BX46</f>
        <v>9.34</v>
      </c>
      <c r="M40" s="229">
        <f>'市县（因素法）'!CA46</f>
        <v>0</v>
      </c>
      <c r="N40" s="229"/>
      <c r="O40" s="229">
        <f>'市县（因素法）'!CB46</f>
        <v>0</v>
      </c>
      <c r="P40" s="229">
        <f>'市县（因素法）'!CC46</f>
        <v>0</v>
      </c>
      <c r="Q40" s="234"/>
      <c r="R40" s="235">
        <v>11.66</v>
      </c>
    </row>
    <row r="41" ht="22.05" customHeight="1" spans="1:18">
      <c r="A41" s="228" t="s">
        <v>142</v>
      </c>
      <c r="B41" s="229">
        <f t="shared" si="3"/>
        <v>24.76</v>
      </c>
      <c r="C41" s="229">
        <f>'市县（因素法）'!D47</f>
        <v>0.94</v>
      </c>
      <c r="D41" s="229">
        <f>'市县（因素法）'!H47</f>
        <v>7.75</v>
      </c>
      <c r="E41" s="229">
        <f>'市县（因素法）'!P47</f>
        <v>0.35</v>
      </c>
      <c r="F41" s="229">
        <f>'市县（因素法）'!V47</f>
        <v>0</v>
      </c>
      <c r="G41" s="229">
        <f>'市县（因素法）'!AE47</f>
        <v>2.48</v>
      </c>
      <c r="H41" s="229">
        <f>'市县（因素法）'!AO47</f>
        <v>0.51</v>
      </c>
      <c r="I41" s="229">
        <f>'市县（因素法）'!AS47</f>
        <v>0.13</v>
      </c>
      <c r="J41" s="229">
        <f>'市县（因素法）'!AZ47</f>
        <v>3.1</v>
      </c>
      <c r="K41" s="229">
        <f>'市县（因素法）'!BP47</f>
        <v>4.2</v>
      </c>
      <c r="L41" s="229">
        <f>'市县（因素法）'!BS47+'市县（因素法）'!BX47</f>
        <v>6.21</v>
      </c>
      <c r="M41" s="229">
        <f>'市县（因素法）'!CA47</f>
        <v>0</v>
      </c>
      <c r="N41" s="229"/>
      <c r="O41" s="229">
        <f>'市县（因素法）'!CB47</f>
        <v>0</v>
      </c>
      <c r="P41" s="229">
        <f>'市县（因素法）'!CC47</f>
        <v>0</v>
      </c>
      <c r="Q41" s="234"/>
      <c r="R41" s="235">
        <v>-0.91</v>
      </c>
    </row>
    <row r="42" ht="22.05" customHeight="1" spans="1:18">
      <c r="A42" s="228" t="s">
        <v>143</v>
      </c>
      <c r="B42" s="229">
        <f t="shared" si="3"/>
        <v>109.47</v>
      </c>
      <c r="C42" s="229">
        <f>'市县（因素法）'!D48</f>
        <v>4.55</v>
      </c>
      <c r="D42" s="229">
        <f>'市县（因素法）'!H48</f>
        <v>51.98</v>
      </c>
      <c r="E42" s="229">
        <f>'市县（因素法）'!P48</f>
        <v>2.88</v>
      </c>
      <c r="F42" s="229">
        <f>'市县（因素法）'!V48</f>
        <v>0</v>
      </c>
      <c r="G42" s="229">
        <f>'市县（因素法）'!AE48</f>
        <v>0</v>
      </c>
      <c r="H42" s="229">
        <f>'市县（因素法）'!AO48</f>
        <v>0.51</v>
      </c>
      <c r="I42" s="229">
        <f>'市县（因素法）'!AS48</f>
        <v>22.9</v>
      </c>
      <c r="J42" s="229">
        <f>'市县（因素法）'!AZ48</f>
        <v>10.19</v>
      </c>
      <c r="K42" s="229">
        <f>'市县（因素法）'!BP48</f>
        <v>4.94</v>
      </c>
      <c r="L42" s="229">
        <f>'市县（因素法）'!BS48+'市县（因素法）'!BX48</f>
        <v>11.49</v>
      </c>
      <c r="M42" s="229">
        <f>'市县（因素法）'!CA48</f>
        <v>0</v>
      </c>
      <c r="N42" s="229"/>
      <c r="O42" s="229">
        <f>'市县（因素法）'!CB48</f>
        <v>0</v>
      </c>
      <c r="P42" s="229">
        <f>'市县（因素法）'!CC48</f>
        <v>3</v>
      </c>
      <c r="Q42" s="234"/>
      <c r="R42" s="235">
        <v>-2.97</v>
      </c>
    </row>
    <row r="43" ht="22.05" customHeight="1" spans="1:18">
      <c r="A43" s="228" t="s">
        <v>144</v>
      </c>
      <c r="B43" s="229">
        <f t="shared" si="3"/>
        <v>77.2</v>
      </c>
      <c r="C43" s="229">
        <f>'市县（因素法）'!D49</f>
        <v>2.6</v>
      </c>
      <c r="D43" s="229">
        <f>'市县（因素法）'!H49</f>
        <v>48.54</v>
      </c>
      <c r="E43" s="229">
        <f>'市县（因素法）'!P49</f>
        <v>3.24</v>
      </c>
      <c r="F43" s="229">
        <f>'市县（因素法）'!V49</f>
        <v>0</v>
      </c>
      <c r="G43" s="229">
        <f>'市县（因素法）'!AE49</f>
        <v>0</v>
      </c>
      <c r="H43" s="229">
        <f>'市县（因素法）'!AO49</f>
        <v>1.01</v>
      </c>
      <c r="I43" s="229">
        <f>'市县（因素法）'!AS49</f>
        <v>6.48</v>
      </c>
      <c r="J43" s="229">
        <f>'市县（因素法）'!AZ49</f>
        <v>6.82</v>
      </c>
      <c r="K43" s="229">
        <f>'市县（因素法）'!BP49</f>
        <v>2.67</v>
      </c>
      <c r="L43" s="229">
        <f>'市县（因素法）'!BS49+'市县（因素法）'!BX49</f>
        <v>8.92</v>
      </c>
      <c r="M43" s="229">
        <f>'市县（因素法）'!CA49</f>
        <v>0</v>
      </c>
      <c r="N43" s="229"/>
      <c r="O43" s="229">
        <f>'市县（因素法）'!CB49</f>
        <v>0</v>
      </c>
      <c r="P43" s="229">
        <f>'市县（因素法）'!CC49</f>
        <v>0</v>
      </c>
      <c r="Q43" s="234"/>
      <c r="R43" s="235">
        <v>-3.08</v>
      </c>
    </row>
    <row r="44" ht="22.05" customHeight="1" spans="1:18">
      <c r="A44" s="228" t="s">
        <v>145</v>
      </c>
      <c r="B44" s="229">
        <f t="shared" si="3"/>
        <v>116.53</v>
      </c>
      <c r="C44" s="229">
        <f>'市县（因素法）'!D50</f>
        <v>2.58</v>
      </c>
      <c r="D44" s="229">
        <f>'市县（因素法）'!H50</f>
        <v>52.27</v>
      </c>
      <c r="E44" s="229">
        <f>'市县（因素法）'!P50</f>
        <v>2.18</v>
      </c>
      <c r="F44" s="229">
        <f>'市县（因素法）'!V50</f>
        <v>0</v>
      </c>
      <c r="G44" s="229">
        <f>'市县（因素法）'!AE50</f>
        <v>0</v>
      </c>
      <c r="H44" s="229">
        <f>'市县（因素法）'!AO50</f>
        <v>1.52</v>
      </c>
      <c r="I44" s="229">
        <f>'市县（因素法）'!AS50</f>
        <v>2.59</v>
      </c>
      <c r="J44" s="229">
        <f>'市县（因素法）'!AZ50</f>
        <v>8.99</v>
      </c>
      <c r="K44" s="229">
        <f>'市县（因素法）'!BP50</f>
        <v>22.07</v>
      </c>
      <c r="L44" s="229">
        <f>'市县（因素法）'!BS50+'市县（因素法）'!BX50</f>
        <v>9.84</v>
      </c>
      <c r="M44" s="229">
        <f>'市县（因素法）'!CA50</f>
        <v>0</v>
      </c>
      <c r="N44" s="229"/>
      <c r="O44" s="229">
        <f>'市县（因素法）'!CB50</f>
        <v>0</v>
      </c>
      <c r="P44" s="229">
        <f>'市县（因素法）'!CC50</f>
        <v>0</v>
      </c>
      <c r="Q44" s="234"/>
      <c r="R44" s="235">
        <v>14.49</v>
      </c>
    </row>
    <row r="45" ht="22.05" customHeight="1" spans="1:18">
      <c r="A45" s="228" t="s">
        <v>146</v>
      </c>
      <c r="B45" s="229">
        <f t="shared" si="3"/>
        <v>63.77</v>
      </c>
      <c r="C45" s="229">
        <f>'市县（因素法）'!D51</f>
        <v>2.69</v>
      </c>
      <c r="D45" s="229">
        <f>'市县（因素法）'!H51</f>
        <v>27.86</v>
      </c>
      <c r="E45" s="229">
        <f>'市县（因素法）'!P51</f>
        <v>3.59</v>
      </c>
      <c r="F45" s="229">
        <f>'市县（因素法）'!V51</f>
        <v>0</v>
      </c>
      <c r="G45" s="229">
        <f>'市县（因素法）'!AE51</f>
        <v>0</v>
      </c>
      <c r="H45" s="229">
        <f>'市县（因素法）'!AO51</f>
        <v>0.51</v>
      </c>
      <c r="I45" s="229">
        <f>'市县（因素法）'!AS51</f>
        <v>13.43</v>
      </c>
      <c r="J45" s="229">
        <f>'市县（因素法）'!AZ51</f>
        <v>6.3</v>
      </c>
      <c r="K45" s="229">
        <f>'市县（因素法）'!BP51</f>
        <v>1.19</v>
      </c>
      <c r="L45" s="229">
        <f>'市县（因素法）'!BS51+'市县（因素法）'!BX51</f>
        <v>9.84</v>
      </c>
      <c r="M45" s="229">
        <f>'市县（因素法）'!CA51</f>
        <v>0</v>
      </c>
      <c r="N45" s="229"/>
      <c r="O45" s="229">
        <f>'市县（因素法）'!CB51</f>
        <v>0</v>
      </c>
      <c r="P45" s="229">
        <f>'市县（因素法）'!CC51</f>
        <v>0</v>
      </c>
      <c r="Q45" s="234"/>
      <c r="R45" s="235">
        <v>-1.64</v>
      </c>
    </row>
    <row r="46" ht="22.05" customHeight="1" spans="1:18">
      <c r="A46" s="228" t="s">
        <v>147</v>
      </c>
      <c r="B46" s="229">
        <f t="shared" si="3"/>
        <v>197.48</v>
      </c>
      <c r="C46" s="229">
        <f>'市县（因素法）'!D52</f>
        <v>6.13</v>
      </c>
      <c r="D46" s="229">
        <f>'市县（因素法）'!H52</f>
        <v>107.41</v>
      </c>
      <c r="E46" s="229">
        <f>'市县（因素法）'!P52</f>
        <v>4.15</v>
      </c>
      <c r="F46" s="229">
        <f>'市县（因素法）'!V52</f>
        <v>0</v>
      </c>
      <c r="G46" s="229">
        <f>'市县（因素法）'!AE52</f>
        <v>0</v>
      </c>
      <c r="H46" s="229">
        <f>'市县（因素法）'!AO52</f>
        <v>0.51</v>
      </c>
      <c r="I46" s="229">
        <f>'市县（因素法）'!AS52</f>
        <v>47.86</v>
      </c>
      <c r="J46" s="229">
        <f>'市县（因素法）'!AZ52</f>
        <v>13.21</v>
      </c>
      <c r="K46" s="229">
        <f>'市县（因素法）'!BP52</f>
        <v>4.2</v>
      </c>
      <c r="L46" s="229">
        <f>'市县（因素法）'!BS52+'市县（因素法）'!BX52</f>
        <v>11.49</v>
      </c>
      <c r="M46" s="229">
        <f>'市县（因素法）'!CA52</f>
        <v>0</v>
      </c>
      <c r="N46" s="229"/>
      <c r="O46" s="229">
        <f>'市县（因素法）'!CB52</f>
        <v>0</v>
      </c>
      <c r="P46" s="229">
        <f>'市县（因素法）'!CC52</f>
        <v>9</v>
      </c>
      <c r="Q46" s="234"/>
      <c r="R46" s="235">
        <v>-6.48</v>
      </c>
    </row>
    <row r="47" ht="22.05" customHeight="1" spans="1:18">
      <c r="A47" s="228" t="s">
        <v>148</v>
      </c>
      <c r="B47" s="229">
        <f t="shared" si="3"/>
        <v>114.17</v>
      </c>
      <c r="C47" s="229">
        <f>'市县（因素法）'!D53</f>
        <v>6.68</v>
      </c>
      <c r="D47" s="229">
        <f>'市县（因素法）'!H53</f>
        <v>47.1</v>
      </c>
      <c r="E47" s="229">
        <f>'市县（因素法）'!P53</f>
        <v>3.73</v>
      </c>
      <c r="F47" s="229">
        <f>'市县（因素法）'!V53</f>
        <v>0</v>
      </c>
      <c r="G47" s="229">
        <f>'市县（因素法）'!AE53</f>
        <v>0</v>
      </c>
      <c r="H47" s="229">
        <f>'市县（因素法）'!AO53</f>
        <v>1.01</v>
      </c>
      <c r="I47" s="229">
        <f>'市县（因素法）'!AS53</f>
        <v>25.58</v>
      </c>
      <c r="J47" s="229">
        <f>'市县（因素法）'!AZ53</f>
        <v>12.05</v>
      </c>
      <c r="K47" s="229">
        <f>'市县（因素法）'!BP53</f>
        <v>4.2</v>
      </c>
      <c r="L47" s="229">
        <f>'市县（因素法）'!BS53+'市县（因素法）'!BX53</f>
        <v>11.16</v>
      </c>
      <c r="M47" s="229">
        <f>'市县（因素法）'!CA53</f>
        <v>0</v>
      </c>
      <c r="N47" s="229"/>
      <c r="O47" s="229">
        <f>'市县（因素法）'!CB53</f>
        <v>0</v>
      </c>
      <c r="P47" s="229">
        <f>'市县（因素法）'!CC53</f>
        <v>7</v>
      </c>
      <c r="Q47" s="234"/>
      <c r="R47" s="235">
        <v>-4.34</v>
      </c>
    </row>
    <row r="48" ht="22.05" customHeight="1" spans="1:18">
      <c r="A48" s="228" t="s">
        <v>149</v>
      </c>
      <c r="B48" s="229">
        <f t="shared" si="3"/>
        <v>121.71</v>
      </c>
      <c r="C48" s="229">
        <f>'市县（因素法）'!D54</f>
        <v>4.55</v>
      </c>
      <c r="D48" s="229">
        <f>'市县（因素法）'!H54</f>
        <v>58.88</v>
      </c>
      <c r="E48" s="229">
        <f>'市县（因素法）'!P54</f>
        <v>3.94</v>
      </c>
      <c r="F48" s="229">
        <f>'市县（因素法）'!V54</f>
        <v>0</v>
      </c>
      <c r="G48" s="229">
        <f>'市县（因素法）'!AE54</f>
        <v>4.94</v>
      </c>
      <c r="H48" s="229">
        <f>'市县（因素法）'!AO54</f>
        <v>0.51</v>
      </c>
      <c r="I48" s="229">
        <f>'市县（因素法）'!AS54</f>
        <v>7.23</v>
      </c>
      <c r="J48" s="229">
        <f>'市县（因素法）'!AZ54</f>
        <v>13.49</v>
      </c>
      <c r="K48" s="229">
        <f>'市县（因素法）'!BP54</f>
        <v>14.7</v>
      </c>
      <c r="L48" s="229">
        <f>'市县（因素法）'!BS54+'市县（因素法）'!BX54</f>
        <v>13.47</v>
      </c>
      <c r="M48" s="229">
        <f>'市县（因素法）'!CA54</f>
        <v>0</v>
      </c>
      <c r="N48" s="229"/>
      <c r="O48" s="229">
        <f>'市县（因素法）'!CB54</f>
        <v>0</v>
      </c>
      <c r="P48" s="229">
        <f>'市县（因素法）'!CC54</f>
        <v>0</v>
      </c>
      <c r="Q48" s="234"/>
      <c r="R48" s="235"/>
    </row>
    <row r="49" ht="22.05" customHeight="1" spans="1:18">
      <c r="A49" s="228" t="s">
        <v>150</v>
      </c>
      <c r="B49" s="229">
        <f t="shared" si="3"/>
        <v>110.54</v>
      </c>
      <c r="C49" s="229">
        <f>'市县（因素法）'!D55</f>
        <v>5.29</v>
      </c>
      <c r="D49" s="229">
        <f>'市县（因素法）'!H55</f>
        <v>57.44</v>
      </c>
      <c r="E49" s="229">
        <f>'市县（因素法）'!P55</f>
        <v>2.74</v>
      </c>
      <c r="F49" s="229">
        <f>'市县（因素法）'!V55</f>
        <v>0</v>
      </c>
      <c r="G49" s="229">
        <f>'市县（因素法）'!AE55</f>
        <v>0</v>
      </c>
      <c r="H49" s="229">
        <f>'市县（因素法）'!AO55</f>
        <v>0.51</v>
      </c>
      <c r="I49" s="229">
        <f>'市县（因素法）'!AS55</f>
        <v>22.9</v>
      </c>
      <c r="J49" s="229">
        <f>'市县（因素法）'!AZ55</f>
        <v>11.11</v>
      </c>
      <c r="K49" s="229">
        <f>'市县（因素法）'!BP55</f>
        <v>4.2</v>
      </c>
      <c r="L49" s="229">
        <f>'市县（因素法）'!BS55+'市县（因素法）'!BX55</f>
        <v>9.25</v>
      </c>
      <c r="M49" s="229">
        <f>'市县（因素法）'!CA55</f>
        <v>0</v>
      </c>
      <c r="N49" s="229"/>
      <c r="O49" s="229">
        <f>'市县（因素法）'!CB55</f>
        <v>0</v>
      </c>
      <c r="P49" s="229">
        <f>'市县（因素法）'!CC55</f>
        <v>0</v>
      </c>
      <c r="Q49" s="234"/>
      <c r="R49" s="235">
        <v>-2.9</v>
      </c>
    </row>
    <row r="50" ht="22.05" customHeight="1" spans="1:18">
      <c r="A50" s="228" t="s">
        <v>151</v>
      </c>
      <c r="B50" s="229">
        <f t="shared" si="3"/>
        <v>52.3</v>
      </c>
      <c r="C50" s="229">
        <f>'市县（因素法）'!D56</f>
        <v>1.17</v>
      </c>
      <c r="D50" s="229">
        <f>'市县（因素法）'!H56</f>
        <v>23.26</v>
      </c>
      <c r="E50" s="229">
        <f>'市县（因素法）'!P56</f>
        <v>1.27</v>
      </c>
      <c r="F50" s="229">
        <f>'市县（因素法）'!V56</f>
        <v>0</v>
      </c>
      <c r="G50" s="229">
        <f>'市县（因素法）'!AE56</f>
        <v>0</v>
      </c>
      <c r="H50" s="229">
        <f>'市县（因素法）'!AO56</f>
        <v>0.51</v>
      </c>
      <c r="I50" s="229">
        <f>'市县（因素法）'!AS56</f>
        <v>0.19</v>
      </c>
      <c r="J50" s="229">
        <f>'市县（因素法）'!AZ56</f>
        <v>5.21</v>
      </c>
      <c r="K50" s="229">
        <f>'市县（因素法）'!BP56</f>
        <v>4.2</v>
      </c>
      <c r="L50" s="229">
        <f>'市县（因素法）'!BS56+'市县（因素法）'!BX56</f>
        <v>10.17</v>
      </c>
      <c r="M50" s="229">
        <f>'市县（因素法）'!CA56</f>
        <v>0</v>
      </c>
      <c r="N50" s="229"/>
      <c r="O50" s="229">
        <f>'市县（因素法）'!CB56</f>
        <v>0</v>
      </c>
      <c r="P50" s="229">
        <f>'市县（因素法）'!CC56</f>
        <v>0</v>
      </c>
      <c r="Q50" s="234"/>
      <c r="R50" s="235">
        <v>6.32</v>
      </c>
    </row>
    <row r="51" ht="22.05" customHeight="1" spans="1:18">
      <c r="A51" s="228" t="s">
        <v>152</v>
      </c>
      <c r="B51" s="229">
        <f t="shared" si="3"/>
        <v>157.31</v>
      </c>
      <c r="C51" s="229">
        <f>'市县（因素法）'!D57</f>
        <v>2.75</v>
      </c>
      <c r="D51" s="229">
        <f>'市县（因素法）'!H57</f>
        <v>26.71</v>
      </c>
      <c r="E51" s="229">
        <f>'市县（因素法）'!P57</f>
        <v>102.53</v>
      </c>
      <c r="F51" s="229">
        <f>'市县（因素法）'!V57</f>
        <v>0.27</v>
      </c>
      <c r="G51" s="229">
        <f>'市县（因素法）'!AE57</f>
        <v>0</v>
      </c>
      <c r="H51" s="229">
        <f>'市县（因素法）'!AO57</f>
        <v>0.51</v>
      </c>
      <c r="I51" s="229">
        <f>'市县（因素法）'!AS57</f>
        <v>0.39</v>
      </c>
      <c r="J51" s="229">
        <f>'市县（因素法）'!AZ57</f>
        <v>9.38</v>
      </c>
      <c r="K51" s="229">
        <f>'市县（因素法）'!BP57</f>
        <v>4.2</v>
      </c>
      <c r="L51" s="229">
        <f>'市县（因素法）'!BS57+'市县（因素法）'!BX57</f>
        <v>10.57</v>
      </c>
      <c r="M51" s="229">
        <f>'市县（因素法）'!CA57</f>
        <v>0</v>
      </c>
      <c r="N51" s="229"/>
      <c r="O51" s="229">
        <f>'市县（因素法）'!CB57</f>
        <v>0</v>
      </c>
      <c r="P51" s="229">
        <f>'市县（因素法）'!CC57</f>
        <v>0</v>
      </c>
      <c r="Q51" s="234"/>
      <c r="R51" s="235"/>
    </row>
    <row r="52" ht="22.05" customHeight="1" spans="1:18">
      <c r="A52" s="228" t="s">
        <v>153</v>
      </c>
      <c r="B52" s="229">
        <f t="shared" si="3"/>
        <v>42.55</v>
      </c>
      <c r="C52" s="229">
        <f>'市县（因素法）'!D58</f>
        <v>0.88</v>
      </c>
      <c r="D52" s="229">
        <f>'市县（因素法）'!H58</f>
        <v>18.38</v>
      </c>
      <c r="E52" s="229">
        <f>'市县（因素法）'!P58</f>
        <v>0.84</v>
      </c>
      <c r="F52" s="229">
        <f>'市县（因素法）'!V58</f>
        <v>0</v>
      </c>
      <c r="G52" s="229">
        <f>'市县（因素法）'!AE58</f>
        <v>0</v>
      </c>
      <c r="H52" s="229">
        <f>'市县（因素法）'!AO58</f>
        <v>0.51</v>
      </c>
      <c r="I52" s="229">
        <f>'市县（因素法）'!AS58</f>
        <v>1.47</v>
      </c>
      <c r="J52" s="229">
        <f>'市县（因素法）'!AZ58</f>
        <v>4.66</v>
      </c>
      <c r="K52" s="229">
        <f>'市县（因素法）'!BP58</f>
        <v>7.29</v>
      </c>
      <c r="L52" s="229">
        <f>'市县（因素法）'!BS58+'市县（因素法）'!BX58</f>
        <v>8.52</v>
      </c>
      <c r="M52" s="229">
        <f>'市县（因素法）'!CA58</f>
        <v>0</v>
      </c>
      <c r="N52" s="229"/>
      <c r="O52" s="229">
        <f>'市县（因素法）'!CB58</f>
        <v>0</v>
      </c>
      <c r="P52" s="229">
        <f>'市县（因素法）'!CC58</f>
        <v>0</v>
      </c>
      <c r="Q52" s="234"/>
      <c r="R52" s="235"/>
    </row>
    <row r="53" ht="22.05" customHeight="1" spans="1:18">
      <c r="A53" s="228" t="s">
        <v>154</v>
      </c>
      <c r="B53" s="229">
        <f t="shared" si="3"/>
        <v>44.04</v>
      </c>
      <c r="C53" s="229">
        <f>'市县（因素法）'!D59</f>
        <v>0.94</v>
      </c>
      <c r="D53" s="229">
        <f>'市县（因素法）'!H59</f>
        <v>19.82</v>
      </c>
      <c r="E53" s="229">
        <f>'市县（因素法）'!P59</f>
        <v>1.27</v>
      </c>
      <c r="F53" s="229">
        <f>'市县（因素法）'!V59</f>
        <v>0</v>
      </c>
      <c r="G53" s="229">
        <f>'市县（因素法）'!AE59</f>
        <v>0</v>
      </c>
      <c r="H53" s="229">
        <f>'市县（因素法）'!AO59</f>
        <v>0.51</v>
      </c>
      <c r="I53" s="229">
        <f>'市县（因素法）'!AS59</f>
        <v>1.08</v>
      </c>
      <c r="J53" s="229">
        <f>'市县（因素法）'!AZ59</f>
        <v>6.05</v>
      </c>
      <c r="K53" s="229">
        <f>'市县（因素法）'!BP59</f>
        <v>4.2</v>
      </c>
      <c r="L53" s="229">
        <f>'市县（因素法）'!BS59+'市县（因素法）'!BX59</f>
        <v>10.17</v>
      </c>
      <c r="M53" s="229">
        <f>'市县（因素法）'!CA59</f>
        <v>0</v>
      </c>
      <c r="N53" s="229"/>
      <c r="O53" s="229">
        <f>'市县（因素法）'!CB59</f>
        <v>0</v>
      </c>
      <c r="P53" s="229">
        <f>'市县（因素法）'!CC59</f>
        <v>0</v>
      </c>
      <c r="Q53" s="234"/>
      <c r="R53" s="235"/>
    </row>
    <row r="54" ht="22.05" customHeight="1" spans="1:18">
      <c r="A54" s="228" t="s">
        <v>155</v>
      </c>
      <c r="B54" s="229">
        <f t="shared" si="3"/>
        <v>201.72</v>
      </c>
      <c r="C54" s="229">
        <f>'市县（因素法）'!D60</f>
        <v>3.24</v>
      </c>
      <c r="D54" s="229">
        <f>'市县（因素法）'!H60</f>
        <v>65.77</v>
      </c>
      <c r="E54" s="229">
        <f>'市县（因素法）'!P60</f>
        <v>31.31</v>
      </c>
      <c r="F54" s="229">
        <f>'市县（因素法）'!V60</f>
        <v>0</v>
      </c>
      <c r="G54" s="229">
        <f>'市县（因素法）'!AE60</f>
        <v>77.94</v>
      </c>
      <c r="H54" s="229">
        <f>'市县（因素法）'!AO60</f>
        <v>3.03</v>
      </c>
      <c r="I54" s="229">
        <f>'市县（因素法）'!AS60</f>
        <v>0.45</v>
      </c>
      <c r="J54" s="229">
        <f>'市县（因素法）'!AZ60</f>
        <v>9.99</v>
      </c>
      <c r="K54" s="229">
        <f>'市县（因素法）'!BP60</f>
        <v>4.2</v>
      </c>
      <c r="L54" s="229">
        <f>'市县（因素法）'!BS60+'市县（因素法）'!BX60</f>
        <v>12.22</v>
      </c>
      <c r="M54" s="229">
        <f>'市县（因素法）'!CA60</f>
        <v>0</v>
      </c>
      <c r="N54" s="229"/>
      <c r="O54" s="229">
        <f>'市县（因素法）'!CB60</f>
        <v>0</v>
      </c>
      <c r="P54" s="229">
        <f>'市县（因素法）'!CC60</f>
        <v>0</v>
      </c>
      <c r="Q54" s="234"/>
      <c r="R54" s="235">
        <v>-6.43</v>
      </c>
    </row>
    <row r="55" ht="22.05" customHeight="1" spans="1:18">
      <c r="A55" s="230" t="s">
        <v>156</v>
      </c>
      <c r="B55" s="229">
        <f t="shared" si="3"/>
        <v>25.71</v>
      </c>
      <c r="C55" s="229">
        <f>'市县（因素法）'!D61</f>
        <v>0.31</v>
      </c>
      <c r="D55" s="229">
        <f>'市县（因素法）'!H61</f>
        <v>6.03</v>
      </c>
      <c r="E55" s="229">
        <f>'市县（因素法）'!P61</f>
        <v>0.14</v>
      </c>
      <c r="F55" s="229">
        <f>'市县（因素法）'!V61</f>
        <v>0</v>
      </c>
      <c r="G55" s="229">
        <f>'市县（因素法）'!AE61</f>
        <v>6.16</v>
      </c>
      <c r="H55" s="229">
        <f>'市县（因素法）'!AO61</f>
        <v>0.51</v>
      </c>
      <c r="I55" s="229">
        <f>'市县（因素法）'!AS61</f>
        <v>0.04</v>
      </c>
      <c r="J55" s="229">
        <f>'市县（因素法）'!AZ61</f>
        <v>2.84</v>
      </c>
      <c r="K55" s="229">
        <f>'市县（因素法）'!BP61</f>
        <v>4.2</v>
      </c>
      <c r="L55" s="229">
        <f>'市县（因素法）'!BS61+'市县（因素法）'!BX61</f>
        <v>5.88</v>
      </c>
      <c r="M55" s="229">
        <f>'市县（因素法）'!CA61</f>
        <v>0</v>
      </c>
      <c r="N55" s="229"/>
      <c r="O55" s="229">
        <f>'市县（因素法）'!CB61</f>
        <v>0</v>
      </c>
      <c r="P55" s="229">
        <f>'市县（因素法）'!CC61</f>
        <v>0</v>
      </c>
      <c r="Q55" s="234"/>
      <c r="R55" s="235">
        <v>-0.4</v>
      </c>
    </row>
    <row r="56" ht="22.05" customHeight="1" spans="1:18">
      <c r="A56" s="230" t="s">
        <v>157</v>
      </c>
      <c r="B56" s="229">
        <f t="shared" si="3"/>
        <v>32.22</v>
      </c>
      <c r="C56" s="229">
        <f>'市县（因素法）'!D62</f>
        <v>0.41</v>
      </c>
      <c r="D56" s="229">
        <f>'市县（因素法）'!H62</f>
        <v>11.78</v>
      </c>
      <c r="E56" s="229">
        <f>'市县（因素法）'!P62</f>
        <v>0.21</v>
      </c>
      <c r="F56" s="229">
        <f>'市县（因素法）'!V62</f>
        <v>0</v>
      </c>
      <c r="G56" s="229">
        <f>'市县（因素法）'!AE62</f>
        <v>0</v>
      </c>
      <c r="H56" s="229">
        <f>'市县（因素法）'!AO62</f>
        <v>1.01</v>
      </c>
      <c r="I56" s="229">
        <f>'市县（因素法）'!AS62</f>
        <v>0.06</v>
      </c>
      <c r="J56" s="229">
        <f>'市县（因素法）'!AZ62</f>
        <v>1.98</v>
      </c>
      <c r="K56" s="229">
        <f>'市县（因素法）'!BP62</f>
        <v>7.29</v>
      </c>
      <c r="L56" s="229">
        <f>'市县（因素法）'!BS62+'市县（因素法）'!BX62</f>
        <v>5.88</v>
      </c>
      <c r="M56" s="229">
        <f>'市县（因素法）'!CA62</f>
        <v>0</v>
      </c>
      <c r="N56" s="229"/>
      <c r="O56" s="229">
        <f>'市县（因素法）'!CB62</f>
        <v>0</v>
      </c>
      <c r="P56" s="229">
        <f>'市县（因素法）'!CC62</f>
        <v>0</v>
      </c>
      <c r="Q56" s="234"/>
      <c r="R56" s="235">
        <v>3.6</v>
      </c>
    </row>
    <row r="57" ht="22.05" customHeight="1" spans="1:18">
      <c r="A57" s="228" t="s">
        <v>158</v>
      </c>
      <c r="B57" s="229">
        <f t="shared" si="3"/>
        <v>55.7</v>
      </c>
      <c r="C57" s="229">
        <f>'市县（因素法）'!D63</f>
        <v>2.19</v>
      </c>
      <c r="D57" s="229">
        <f>'市县（因素法）'!H63</f>
        <v>27</v>
      </c>
      <c r="E57" s="229">
        <f>'市县（因素法）'!P63</f>
        <v>0.98</v>
      </c>
      <c r="F57" s="229">
        <f>'市县（因素法）'!V63</f>
        <v>0</v>
      </c>
      <c r="G57" s="229">
        <f>'市县（因素法）'!AE63</f>
        <v>0</v>
      </c>
      <c r="H57" s="229">
        <f>'市县（因素法）'!AO63</f>
        <v>1.01</v>
      </c>
      <c r="I57" s="229">
        <f>'市县（因素法）'!AS63</f>
        <v>0.84</v>
      </c>
      <c r="J57" s="229">
        <f>'市县（因素法）'!AZ63</f>
        <v>8.33</v>
      </c>
      <c r="K57" s="229">
        <f>'市县（因素法）'!BP63</f>
        <v>4.2</v>
      </c>
      <c r="L57" s="229">
        <f>'市县（因素法）'!BS63+'市县（因素法）'!BX63</f>
        <v>12.15</v>
      </c>
      <c r="M57" s="229">
        <f>'市县（因素法）'!CA63</f>
        <v>0</v>
      </c>
      <c r="N57" s="229"/>
      <c r="O57" s="229">
        <f>'市县（因素法）'!CB63</f>
        <v>0</v>
      </c>
      <c r="P57" s="229">
        <f>'市县（因素法）'!CC63</f>
        <v>0</v>
      </c>
      <c r="Q57" s="234"/>
      <c r="R57" s="235">
        <v>-1</v>
      </c>
    </row>
    <row r="58" ht="22.05" customHeight="1" spans="1:18">
      <c r="A58" s="228" t="s">
        <v>159</v>
      </c>
      <c r="B58" s="229">
        <f t="shared" si="3"/>
        <v>184.05</v>
      </c>
      <c r="C58" s="229">
        <f>'市县（因素法）'!D64</f>
        <v>8.88</v>
      </c>
      <c r="D58" s="229">
        <f>'市县（因素法）'!H64</f>
        <v>77.83</v>
      </c>
      <c r="E58" s="229">
        <f>'市县（因素法）'!P64</f>
        <v>3.03</v>
      </c>
      <c r="F58" s="229">
        <f>'市县（因素法）'!V64</f>
        <v>0</v>
      </c>
      <c r="G58" s="229">
        <f>'市县（因素法）'!AE64</f>
        <v>4.94</v>
      </c>
      <c r="H58" s="229">
        <f>'市县（因素法）'!AO64</f>
        <v>24.24</v>
      </c>
      <c r="I58" s="229">
        <f>'市县（因素法）'!AS64</f>
        <v>2.71</v>
      </c>
      <c r="J58" s="229">
        <f>'市县（因素法）'!AZ64</f>
        <v>13.25</v>
      </c>
      <c r="K58" s="229">
        <f>'市县（因素法）'!BP64</f>
        <v>17.36</v>
      </c>
      <c r="L58" s="229">
        <f>'市县（因素法）'!BS64+'市县（因素法）'!BX64</f>
        <v>10.66</v>
      </c>
      <c r="M58" s="229">
        <f>'市县（因素法）'!CA64</f>
        <v>0</v>
      </c>
      <c r="N58" s="229"/>
      <c r="O58" s="229">
        <f>'市县（因素法）'!CB64</f>
        <v>0</v>
      </c>
      <c r="P58" s="229">
        <f>'市县（因素法）'!CC64</f>
        <v>0</v>
      </c>
      <c r="Q58" s="234"/>
      <c r="R58" s="235">
        <v>21.15</v>
      </c>
    </row>
    <row r="59" ht="22.05" customHeight="1" spans="1:18">
      <c r="A59" s="228" t="s">
        <v>160</v>
      </c>
      <c r="B59" s="229">
        <f t="shared" si="3"/>
        <v>73.91</v>
      </c>
      <c r="C59" s="229">
        <f>'市县（因素法）'!D65</f>
        <v>1.93</v>
      </c>
      <c r="D59" s="229">
        <f>'市县（因素法）'!H65</f>
        <v>28.43</v>
      </c>
      <c r="E59" s="229">
        <f>'市县（因素法）'!P65</f>
        <v>1.55</v>
      </c>
      <c r="F59" s="229">
        <f>'市县（因素法）'!V65</f>
        <v>0</v>
      </c>
      <c r="G59" s="229">
        <f>'市县（因素法）'!AE65</f>
        <v>0</v>
      </c>
      <c r="H59" s="229">
        <f>'市县（因素法）'!AO65</f>
        <v>0.51</v>
      </c>
      <c r="I59" s="229">
        <f>'市县（因素法）'!AS65</f>
        <v>0.39</v>
      </c>
      <c r="J59" s="229">
        <f>'市县（因素法）'!AZ65</f>
        <v>7.06</v>
      </c>
      <c r="K59" s="229">
        <f>'市县（因素法）'!BP65</f>
        <v>14.35</v>
      </c>
      <c r="L59" s="229">
        <f>'市县（因素法）'!BS65+'市县（因素法）'!BX65</f>
        <v>9.84</v>
      </c>
      <c r="M59" s="229">
        <f>'市县（因素法）'!CA65</f>
        <v>0</v>
      </c>
      <c r="N59" s="229"/>
      <c r="O59" s="229">
        <f>'市县（因素法）'!CB65</f>
        <v>0</v>
      </c>
      <c r="P59" s="229">
        <f>'市县（因素法）'!CC65</f>
        <v>0</v>
      </c>
      <c r="Q59" s="234"/>
      <c r="R59" s="235">
        <v>9.85</v>
      </c>
    </row>
    <row r="60" ht="22.05" customHeight="1" spans="1:18">
      <c r="A60" s="228" t="s">
        <v>161</v>
      </c>
      <c r="B60" s="229">
        <f t="shared" si="3"/>
        <v>78.66</v>
      </c>
      <c r="C60" s="229">
        <f>'市县（因素法）'!D66</f>
        <v>4</v>
      </c>
      <c r="D60" s="229">
        <f>'市县（因素法）'!H66</f>
        <v>31.02</v>
      </c>
      <c r="E60" s="229">
        <f>'市县（因素法）'!P66</f>
        <v>3.31</v>
      </c>
      <c r="F60" s="229">
        <f>'市县（因素法）'!V66</f>
        <v>4.25</v>
      </c>
      <c r="G60" s="229">
        <f>'市县（因素法）'!AE66</f>
        <v>0</v>
      </c>
      <c r="H60" s="229">
        <f>'市县（因素法）'!AO66</f>
        <v>0.51</v>
      </c>
      <c r="I60" s="229">
        <f>'市县（因素法）'!AS66</f>
        <v>18.42</v>
      </c>
      <c r="J60" s="229">
        <f>'市县（因素法）'!AZ66</f>
        <v>7.39</v>
      </c>
      <c r="K60" s="229">
        <f>'市县（因素法）'!BP66</f>
        <v>4.2</v>
      </c>
      <c r="L60" s="229">
        <f>'市县（因素法）'!BS66+'市县（因素法）'!BX66</f>
        <v>8.52</v>
      </c>
      <c r="M60" s="229">
        <f>'市县（因素法）'!CA66</f>
        <v>0</v>
      </c>
      <c r="N60" s="229"/>
      <c r="O60" s="229">
        <f>'市县（因素法）'!CB66</f>
        <v>0</v>
      </c>
      <c r="P60" s="229">
        <f>'市县（因素法）'!CC66</f>
        <v>0</v>
      </c>
      <c r="Q60" s="234"/>
      <c r="R60" s="235">
        <v>-2.96</v>
      </c>
    </row>
    <row r="61" ht="22.05" customHeight="1" spans="1:18">
      <c r="A61" s="228" t="s">
        <v>162</v>
      </c>
      <c r="B61" s="229">
        <f t="shared" si="3"/>
        <v>154.93</v>
      </c>
      <c r="C61" s="229">
        <f>'市县（因素法）'!D67</f>
        <v>3.14</v>
      </c>
      <c r="D61" s="229">
        <f>'市县（因素法）'!H67</f>
        <v>85.59</v>
      </c>
      <c r="E61" s="229">
        <f>'市县（因素法）'!P67</f>
        <v>3.31</v>
      </c>
      <c r="F61" s="229">
        <f>'市县（因素法）'!V67</f>
        <v>0</v>
      </c>
      <c r="G61" s="229">
        <f>'市县（因素法）'!AE67</f>
        <v>0</v>
      </c>
      <c r="H61" s="229">
        <f>'市县（因素法）'!AO67</f>
        <v>1.01</v>
      </c>
      <c r="I61" s="229">
        <f>'市县（因素法）'!AS67</f>
        <v>2.65</v>
      </c>
      <c r="J61" s="229">
        <f>'市县（因素法）'!AZ67</f>
        <v>54.44</v>
      </c>
      <c r="K61" s="229">
        <f>'市县（因素法）'!BP67</f>
        <v>1.19</v>
      </c>
      <c r="L61" s="229">
        <f>'市县（因素法）'!BS67+'市县（因素法）'!BX67</f>
        <v>9.25</v>
      </c>
      <c r="M61" s="229">
        <f>'市县（因素法）'!CA67</f>
        <v>0</v>
      </c>
      <c r="N61" s="229"/>
      <c r="O61" s="229">
        <f>'市县（因素法）'!CB67</f>
        <v>0</v>
      </c>
      <c r="P61" s="229">
        <f>'市县（因素法）'!CC67</f>
        <v>0</v>
      </c>
      <c r="Q61" s="234"/>
      <c r="R61" s="235">
        <v>-5.65</v>
      </c>
    </row>
    <row r="62" ht="22.05" customHeight="1" spans="1:18">
      <c r="A62" s="228" t="s">
        <v>163</v>
      </c>
      <c r="B62" s="229">
        <f t="shared" si="3"/>
        <v>80.22</v>
      </c>
      <c r="C62" s="229">
        <f>'市县（因素法）'!D68</f>
        <v>1.37</v>
      </c>
      <c r="D62" s="229">
        <f>'市县（因素法）'!H68</f>
        <v>17.81</v>
      </c>
      <c r="E62" s="229">
        <f>'市县（因素法）'!P68</f>
        <v>1.69</v>
      </c>
      <c r="F62" s="229">
        <f>'市县（因素法）'!V68</f>
        <v>0.13</v>
      </c>
      <c r="G62" s="229">
        <f>'市县（因素法）'!AE68</f>
        <v>0</v>
      </c>
      <c r="H62" s="229">
        <f>'市县（因素法）'!AO68</f>
        <v>17.69</v>
      </c>
      <c r="I62" s="229">
        <f>'市县（因素法）'!AS68</f>
        <v>0.21</v>
      </c>
      <c r="J62" s="229">
        <f>'市县（因素法）'!AZ68</f>
        <v>4.7</v>
      </c>
      <c r="K62" s="229">
        <f>'市县（因素法）'!BP68</f>
        <v>20.37</v>
      </c>
      <c r="L62" s="229">
        <f>'市县（因素法）'!BS68+'市县（因素法）'!BX68</f>
        <v>10.17</v>
      </c>
      <c r="M62" s="229">
        <f>'市县（因素法）'!CA68</f>
        <v>0</v>
      </c>
      <c r="N62" s="229"/>
      <c r="O62" s="229">
        <f>'市县（因素法）'!CB68</f>
        <v>0</v>
      </c>
      <c r="P62" s="229">
        <f>'市县（因素法）'!CC68</f>
        <v>0</v>
      </c>
      <c r="Q62" s="234"/>
      <c r="R62" s="235">
        <v>6.08</v>
      </c>
    </row>
    <row r="63" ht="164" customHeight="1" spans="1:18">
      <c r="A63" s="231" t="s">
        <v>164</v>
      </c>
      <c r="B63" s="231"/>
      <c r="C63" s="231"/>
      <c r="D63" s="231"/>
      <c r="E63" s="231"/>
      <c r="F63" s="231"/>
      <c r="G63" s="231"/>
      <c r="H63" s="231"/>
      <c r="I63" s="231"/>
      <c r="J63" s="231"/>
      <c r="K63" s="231"/>
      <c r="L63" s="231"/>
      <c r="M63" s="231"/>
      <c r="N63" s="231"/>
      <c r="O63" s="231"/>
      <c r="P63" s="231"/>
      <c r="Q63" s="231"/>
      <c r="R63" s="231"/>
    </row>
  </sheetData>
  <mergeCells count="2">
    <mergeCell ref="A2:R2"/>
    <mergeCell ref="A63:R63"/>
  </mergeCells>
  <printOptions horizontalCentered="1"/>
  <pageMargins left="0.472222222222222" right="0.472222222222222" top="0.590277777777778" bottom="0.786805555555556" header="0.5" footer="0.5"/>
  <pageSetup paperSize="8" scale="9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CF69"/>
  <sheetViews>
    <sheetView view="pageBreakPreview" zoomScale="85" zoomScaleNormal="100" workbookViewId="0">
      <pane xSplit="1" ySplit="6" topLeftCell="B7" activePane="bottomRight" state="frozen"/>
      <selection/>
      <selection pane="topRight"/>
      <selection pane="bottomLeft"/>
      <selection pane="bottomRight" activeCell="P10" sqref="P10"/>
    </sheetView>
  </sheetViews>
  <sheetFormatPr defaultColWidth="14.6666666666667" defaultRowHeight="10.5"/>
  <cols>
    <col min="1" max="1" width="17.8833333333333" style="49" customWidth="1"/>
    <col min="2" max="2" width="10.1083333333333" style="50" customWidth="1"/>
    <col min="3" max="3" width="8.99166666666667" style="51" customWidth="1"/>
    <col min="4" max="4" width="8.225" style="52" customWidth="1"/>
    <col min="5" max="5" width="8.33333333333333" style="52" customWidth="1"/>
    <col min="6" max="6" width="8.225" style="52" customWidth="1"/>
    <col min="7" max="7" width="11.8833333333333" style="52" customWidth="1"/>
    <col min="8" max="8" width="8" style="52" customWidth="1"/>
    <col min="9" max="9" width="6.775" style="53" customWidth="1"/>
    <col min="10" max="10" width="7.44166666666667" style="54" customWidth="1"/>
    <col min="11" max="11" width="7.775" style="54" customWidth="1"/>
    <col min="12" max="12" width="6.55833333333333" style="54" customWidth="1"/>
    <col min="13" max="13" width="10.6666666666667" style="54" customWidth="1"/>
    <col min="14" max="14" width="9.55833333333333" style="54" customWidth="1"/>
    <col min="15" max="15" width="9.225" style="54" customWidth="1"/>
    <col min="16" max="16" width="10.3333333333333" style="54" customWidth="1"/>
    <col min="17" max="17" width="8.10833333333333" style="52" customWidth="1"/>
    <col min="18" max="18" width="8.44166666666667" style="54" customWidth="1"/>
    <col min="19" max="19" width="8.33333333333333" style="54" customWidth="1"/>
    <col min="20" max="20" width="7.33333333333333" style="54" customWidth="1"/>
    <col min="21" max="21" width="16.1083333333333" style="54" customWidth="1"/>
    <col min="22" max="22" width="8.44166666666667" style="54" customWidth="1"/>
    <col min="23" max="23" width="7.88333333333333" style="53" customWidth="1"/>
    <col min="24" max="26" width="7.88333333333333" style="54" customWidth="1"/>
    <col min="27" max="27" width="7.88333333333333" style="53" customWidth="1"/>
    <col min="28" max="28" width="7.88333333333333" style="54" customWidth="1"/>
    <col min="29" max="29" width="7.88333333333333" style="55" customWidth="1"/>
    <col min="30" max="30" width="13.6666666666667" style="56" customWidth="1"/>
    <col min="31" max="31" width="9" style="56" customWidth="1"/>
    <col min="32" max="37" width="9.55833333333333" style="57" customWidth="1"/>
    <col min="38" max="38" width="10.4416666666667" style="57" customWidth="1"/>
    <col min="39" max="39" width="9.55833333333333" style="57" customWidth="1"/>
    <col min="40" max="40" width="8.775" style="58" customWidth="1"/>
    <col min="41" max="41" width="8.775" style="59" customWidth="1"/>
    <col min="42" max="42" width="9.225" style="53" customWidth="1"/>
    <col min="43" max="43" width="11.5583333333333" style="53" customWidth="1"/>
    <col min="44" max="44" width="9.75" style="51" customWidth="1"/>
    <col min="45" max="45" width="8" style="51" customWidth="1"/>
    <col min="46" max="46" width="8.775" style="53" customWidth="1"/>
    <col min="47" max="47" width="7.66666666666667" style="53" customWidth="1"/>
    <col min="48" max="48" width="12" style="53" customWidth="1"/>
    <col min="49" max="49" width="8.33333333333333" style="53" customWidth="1"/>
    <col min="50" max="50" width="9.10833333333333" style="53" customWidth="1"/>
    <col min="51" max="51" width="22.8833333333333" style="51" customWidth="1"/>
    <col min="52" max="52" width="7.66666666666667" style="52" customWidth="1"/>
    <col min="53" max="55" width="6.775" style="55" customWidth="1"/>
    <col min="56" max="56" width="8.33333333333333" style="55" customWidth="1"/>
    <col min="57" max="57" width="8.44166666666667" style="60" customWidth="1"/>
    <col min="58" max="58" width="11.8833333333333" style="60" customWidth="1"/>
    <col min="59" max="59" width="8.55833333333333" style="61" customWidth="1"/>
    <col min="60" max="60" width="18.775" style="61" customWidth="1"/>
    <col min="61" max="61" width="9" style="62" customWidth="1"/>
    <col min="62" max="62" width="8.775" style="60" customWidth="1"/>
    <col min="63" max="63" width="8.225" style="60" customWidth="1"/>
    <col min="64" max="64" width="10.775" style="53" customWidth="1"/>
    <col min="65" max="65" width="7.775" style="63" customWidth="1"/>
    <col min="66" max="66" width="12.6666666666667" style="53" hidden="1" customWidth="1"/>
    <col min="67" max="67" width="12.775" style="63" customWidth="1"/>
    <col min="68" max="68" width="10.8833333333333" style="63" customWidth="1"/>
    <col min="69" max="69" width="8.66666666666667" style="54" customWidth="1"/>
    <col min="70" max="70" width="9.775" style="54" customWidth="1"/>
    <col min="71" max="71" width="11.2" style="52" customWidth="1"/>
    <col min="72" max="73" width="9.10833333333333" style="54" customWidth="1"/>
    <col min="74" max="74" width="8.33333333333333" style="54" customWidth="1"/>
    <col min="75" max="75" width="12.1083333333333" style="51" customWidth="1"/>
    <col min="76" max="76" width="11.225" style="64" customWidth="1"/>
    <col min="77" max="77" width="9.66666666666667" style="64" customWidth="1"/>
    <col min="78" max="78" width="9.66666666666667" style="61" customWidth="1"/>
    <col min="79" max="79" width="8.775" style="64" customWidth="1"/>
    <col min="80" max="80" width="15.775" style="64" customWidth="1"/>
    <col min="81" max="81" width="11.8833333333333" style="64" customWidth="1"/>
    <col min="82" max="82" width="17.6666666666667" style="64" customWidth="1"/>
    <col min="83" max="83" width="14.7583333333333" style="48" customWidth="1"/>
    <col min="84" max="16357" width="14.6666666666667" style="48" customWidth="1"/>
    <col min="16358" max="16384" width="14.6666666666667" style="48"/>
  </cols>
  <sheetData>
    <row r="1" ht="12" spans="1:74">
      <c r="A1" s="65" t="s">
        <v>165</v>
      </c>
      <c r="B1" s="53"/>
      <c r="I1" s="63"/>
      <c r="J1" s="63"/>
      <c r="K1" s="63"/>
      <c r="L1" s="63"/>
      <c r="M1" s="63"/>
      <c r="N1" s="63"/>
      <c r="O1" s="63"/>
      <c r="P1" s="63"/>
      <c r="AA1" s="133"/>
      <c r="AB1" s="134"/>
      <c r="AC1" s="134"/>
      <c r="AD1" s="51"/>
      <c r="AE1" s="51"/>
      <c r="AK1" s="133"/>
      <c r="AL1" s="134"/>
      <c r="AV1" s="133"/>
      <c r="AW1" s="134"/>
      <c r="BA1" s="54"/>
      <c r="BB1" s="54"/>
      <c r="BC1" s="54"/>
      <c r="BD1" s="54"/>
      <c r="BE1" s="175"/>
      <c r="BF1" s="175"/>
      <c r="BG1" s="51"/>
      <c r="BH1" s="51"/>
      <c r="BI1" s="63"/>
      <c r="BJ1" s="175"/>
      <c r="BK1" s="175"/>
      <c r="BR1" s="133"/>
      <c r="BS1" s="179"/>
      <c r="BT1" s="133"/>
      <c r="BU1" s="133"/>
      <c r="BV1" s="134"/>
    </row>
    <row r="2" ht="33.75" spans="1:75">
      <c r="A2" s="66" t="s">
        <v>166</v>
      </c>
      <c r="B2" s="66"/>
      <c r="C2" s="66"/>
      <c r="D2" s="66"/>
      <c r="E2" s="66"/>
      <c r="F2" s="66"/>
      <c r="G2" s="66"/>
      <c r="H2" s="66"/>
      <c r="I2" s="66"/>
      <c r="J2" s="66"/>
      <c r="K2" s="66"/>
      <c r="L2" s="66"/>
      <c r="M2" s="66"/>
      <c r="N2" s="66"/>
      <c r="O2" s="66"/>
      <c r="P2" s="66"/>
      <c r="Q2" s="66"/>
      <c r="R2" s="66"/>
      <c r="S2" s="66"/>
      <c r="T2" s="66"/>
      <c r="U2" s="66"/>
      <c r="V2" s="66"/>
      <c r="W2" s="117"/>
      <c r="X2" s="117"/>
      <c r="Y2" s="117"/>
      <c r="Z2" s="117"/>
      <c r="AA2" s="117"/>
      <c r="AB2" s="117"/>
      <c r="AC2" s="117"/>
      <c r="AD2" s="135"/>
      <c r="AE2" s="135"/>
      <c r="AF2" s="117"/>
      <c r="AG2" s="117"/>
      <c r="AH2" s="117"/>
      <c r="AI2" s="117"/>
      <c r="AJ2" s="117"/>
      <c r="AK2" s="117"/>
      <c r="AL2" s="117"/>
      <c r="AM2" s="117"/>
      <c r="AN2" s="135"/>
      <c r="AO2" s="149"/>
      <c r="AP2" s="150"/>
      <c r="AQ2" s="150"/>
      <c r="AR2" s="135"/>
      <c r="AS2" s="135"/>
      <c r="AT2" s="150"/>
      <c r="AU2" s="150"/>
      <c r="AV2" s="150"/>
      <c r="AW2" s="150"/>
      <c r="AX2" s="150"/>
      <c r="AY2" s="135"/>
      <c r="AZ2" s="149"/>
      <c r="BA2" s="117"/>
      <c r="BB2" s="165" t="s">
        <v>167</v>
      </c>
      <c r="BC2" s="117"/>
      <c r="BD2" s="117"/>
      <c r="BE2" s="117"/>
      <c r="BF2" s="117"/>
      <c r="BG2" s="135"/>
      <c r="BH2" s="135"/>
      <c r="BI2" s="176"/>
      <c r="BJ2" s="117"/>
      <c r="BK2" s="117"/>
      <c r="BL2" s="117"/>
      <c r="BM2" s="176"/>
      <c r="BN2" s="150"/>
      <c r="BO2" s="176"/>
      <c r="BP2" s="176"/>
      <c r="BQ2" s="117"/>
      <c r="BR2" s="117"/>
      <c r="BS2" s="149"/>
      <c r="BT2" s="117"/>
      <c r="BU2" s="117"/>
      <c r="BV2" s="117"/>
      <c r="BW2" s="135"/>
    </row>
    <row r="3" ht="13.05" customHeight="1" spans="1:82">
      <c r="A3" s="67"/>
      <c r="B3" s="68"/>
      <c r="C3" s="69"/>
      <c r="D3" s="70"/>
      <c r="E3" s="70"/>
      <c r="F3" s="70"/>
      <c r="G3" s="70"/>
      <c r="H3" s="70"/>
      <c r="I3" s="107"/>
      <c r="J3" s="108"/>
      <c r="K3" s="108"/>
      <c r="L3" s="108"/>
      <c r="M3" s="108"/>
      <c r="N3" s="108"/>
      <c r="P3" s="108"/>
      <c r="Q3" s="70"/>
      <c r="R3" s="70"/>
      <c r="S3" s="70"/>
      <c r="T3" s="70"/>
      <c r="V3" s="118" t="s">
        <v>2</v>
      </c>
      <c r="W3" s="70"/>
      <c r="X3" s="70"/>
      <c r="Y3" s="70"/>
      <c r="Z3" s="70"/>
      <c r="AA3" s="70"/>
      <c r="AB3" s="70"/>
      <c r="AC3" s="70"/>
      <c r="AD3" s="70"/>
      <c r="AE3" s="70"/>
      <c r="AF3" s="107"/>
      <c r="AG3" s="107"/>
      <c r="AH3" s="107"/>
      <c r="AI3" s="107"/>
      <c r="AJ3" s="107"/>
      <c r="AK3" s="107"/>
      <c r="AL3" s="107"/>
      <c r="AM3" s="107"/>
      <c r="AN3" s="69"/>
      <c r="AO3" s="70"/>
      <c r="AP3" s="107"/>
      <c r="AQ3" s="107"/>
      <c r="AR3" s="69"/>
      <c r="AS3" s="69"/>
      <c r="AT3" s="107"/>
      <c r="AU3" s="107"/>
      <c r="AV3" s="107"/>
      <c r="AW3" s="107"/>
      <c r="AX3" s="107"/>
      <c r="AY3" s="69"/>
      <c r="AZ3" s="70"/>
      <c r="BA3" s="70"/>
      <c r="BB3" s="70"/>
      <c r="BC3" s="70"/>
      <c r="BD3" s="70"/>
      <c r="BE3" s="70"/>
      <c r="BF3" s="70"/>
      <c r="BG3" s="70"/>
      <c r="BH3" s="70"/>
      <c r="BI3" s="70"/>
      <c r="BJ3" s="63"/>
      <c r="BK3" s="63"/>
      <c r="BL3" s="107"/>
      <c r="BM3" s="180"/>
      <c r="BN3" s="107"/>
      <c r="BO3" s="180"/>
      <c r="BP3" s="180"/>
      <c r="BQ3" s="70"/>
      <c r="BR3" s="70"/>
      <c r="BS3" s="70"/>
      <c r="BT3" s="70"/>
      <c r="BU3" s="70"/>
      <c r="BV3" s="70"/>
      <c r="BW3" s="70"/>
      <c r="BX3" s="70"/>
      <c r="BY3" s="70"/>
      <c r="BZ3" s="70"/>
      <c r="CA3" s="70"/>
      <c r="CC3" s="70"/>
      <c r="CD3" s="203"/>
    </row>
    <row r="4" s="41" customFormat="1" ht="22" customHeight="1" spans="1:82">
      <c r="A4" s="71" t="s">
        <v>168</v>
      </c>
      <c r="B4" s="72" t="s">
        <v>169</v>
      </c>
      <c r="C4" s="73"/>
      <c r="D4" s="74"/>
      <c r="E4" s="75" t="s">
        <v>170</v>
      </c>
      <c r="F4" s="74"/>
      <c r="G4" s="74"/>
      <c r="H4" s="74"/>
      <c r="I4" s="109" t="s">
        <v>171</v>
      </c>
      <c r="J4" s="110"/>
      <c r="K4" s="110"/>
      <c r="L4" s="110"/>
      <c r="M4" s="110"/>
      <c r="N4" s="110"/>
      <c r="O4" s="110"/>
      <c r="P4" s="110"/>
      <c r="Q4" s="75" t="s">
        <v>172</v>
      </c>
      <c r="R4" s="74"/>
      <c r="S4" s="74"/>
      <c r="T4" s="74"/>
      <c r="U4" s="74"/>
      <c r="V4" s="74"/>
      <c r="W4" s="119" t="s">
        <v>173</v>
      </c>
      <c r="X4" s="120"/>
      <c r="Y4" s="120"/>
      <c r="Z4" s="120"/>
      <c r="AA4" s="120"/>
      <c r="AB4" s="120"/>
      <c r="AC4" s="120"/>
      <c r="AD4" s="120"/>
      <c r="AE4" s="120"/>
      <c r="AF4" s="109" t="s">
        <v>174</v>
      </c>
      <c r="AG4" s="110"/>
      <c r="AH4" s="110"/>
      <c r="AI4" s="110"/>
      <c r="AJ4" s="110"/>
      <c r="AK4" s="110"/>
      <c r="AL4" s="110"/>
      <c r="AM4" s="110"/>
      <c r="AN4" s="73"/>
      <c r="AO4" s="74"/>
      <c r="AP4" s="109" t="s">
        <v>175</v>
      </c>
      <c r="AQ4" s="110"/>
      <c r="AR4" s="73"/>
      <c r="AS4" s="73"/>
      <c r="AT4" s="109" t="s">
        <v>176</v>
      </c>
      <c r="AU4" s="110"/>
      <c r="AV4" s="110"/>
      <c r="AW4" s="110"/>
      <c r="AX4" s="110"/>
      <c r="AY4" s="73"/>
      <c r="AZ4" s="74"/>
      <c r="BA4" s="71" t="s">
        <v>177</v>
      </c>
      <c r="BB4" s="166"/>
      <c r="BC4" s="166"/>
      <c r="BD4" s="166"/>
      <c r="BE4" s="166"/>
      <c r="BF4" s="166"/>
      <c r="BG4" s="73"/>
      <c r="BH4" s="73"/>
      <c r="BI4" s="166"/>
      <c r="BJ4" s="109" t="s">
        <v>178</v>
      </c>
      <c r="BK4" s="110"/>
      <c r="BL4" s="110"/>
      <c r="BM4" s="166"/>
      <c r="BN4" s="109" t="s">
        <v>179</v>
      </c>
      <c r="BO4" s="166"/>
      <c r="BP4" s="71" t="s">
        <v>180</v>
      </c>
      <c r="BQ4" s="75" t="s">
        <v>181</v>
      </c>
      <c r="BR4" s="75"/>
      <c r="BS4" s="75"/>
      <c r="BT4" s="75" t="s">
        <v>182</v>
      </c>
      <c r="BU4" s="75"/>
      <c r="BV4" s="75"/>
      <c r="BW4" s="75"/>
      <c r="BX4" s="75"/>
      <c r="BY4" s="75" t="s">
        <v>183</v>
      </c>
      <c r="BZ4" s="73"/>
      <c r="CA4" s="74"/>
      <c r="CB4" s="75" t="s">
        <v>184</v>
      </c>
      <c r="CC4" s="75" t="s">
        <v>185</v>
      </c>
      <c r="CD4" s="204" t="s">
        <v>186</v>
      </c>
    </row>
    <row r="5" s="42" customFormat="1" ht="64" customHeight="1" spans="1:82">
      <c r="A5" s="76"/>
      <c r="B5" s="77" t="s">
        <v>187</v>
      </c>
      <c r="C5" s="77" t="s">
        <v>188</v>
      </c>
      <c r="D5" s="78" t="s">
        <v>189</v>
      </c>
      <c r="E5" s="79" t="s">
        <v>190</v>
      </c>
      <c r="F5" s="80" t="s">
        <v>191</v>
      </c>
      <c r="G5" s="81" t="s">
        <v>188</v>
      </c>
      <c r="H5" s="79" t="s">
        <v>192</v>
      </c>
      <c r="I5" s="80" t="s">
        <v>193</v>
      </c>
      <c r="J5" s="78" t="s">
        <v>194</v>
      </c>
      <c r="K5" s="78" t="s">
        <v>195</v>
      </c>
      <c r="L5" s="79" t="s">
        <v>196</v>
      </c>
      <c r="M5" s="81" t="s">
        <v>188</v>
      </c>
      <c r="N5" s="79" t="s">
        <v>197</v>
      </c>
      <c r="O5" s="79" t="s">
        <v>198</v>
      </c>
      <c r="P5" s="79" t="s">
        <v>192</v>
      </c>
      <c r="Q5" s="79" t="s">
        <v>199</v>
      </c>
      <c r="R5" s="79" t="s">
        <v>200</v>
      </c>
      <c r="S5" s="81" t="s">
        <v>188</v>
      </c>
      <c r="T5" s="81" t="s">
        <v>201</v>
      </c>
      <c r="U5" s="81" t="s">
        <v>202</v>
      </c>
      <c r="V5" s="79" t="s">
        <v>192</v>
      </c>
      <c r="W5" s="81" t="s">
        <v>203</v>
      </c>
      <c r="X5" s="81" t="s">
        <v>204</v>
      </c>
      <c r="Y5" s="136" t="s">
        <v>205</v>
      </c>
      <c r="Z5" s="137" t="s">
        <v>206</v>
      </c>
      <c r="AA5" s="136" t="s">
        <v>207</v>
      </c>
      <c r="AB5" s="136" t="s">
        <v>208</v>
      </c>
      <c r="AC5" s="136" t="s">
        <v>209</v>
      </c>
      <c r="AD5" s="81" t="s">
        <v>188</v>
      </c>
      <c r="AE5" s="79" t="s">
        <v>192</v>
      </c>
      <c r="AF5" s="138" t="s">
        <v>210</v>
      </c>
      <c r="AG5" s="144" t="s">
        <v>211</v>
      </c>
      <c r="AH5" s="144" t="s">
        <v>212</v>
      </c>
      <c r="AI5" s="144" t="s">
        <v>213</v>
      </c>
      <c r="AJ5" s="144" t="s">
        <v>214</v>
      </c>
      <c r="AK5" s="144" t="s">
        <v>215</v>
      </c>
      <c r="AL5" s="144" t="s">
        <v>216</v>
      </c>
      <c r="AM5" s="144" t="s">
        <v>217</v>
      </c>
      <c r="AN5" s="145" t="s">
        <v>188</v>
      </c>
      <c r="AO5" s="79" t="s">
        <v>192</v>
      </c>
      <c r="AP5" s="151" t="s">
        <v>218</v>
      </c>
      <c r="AQ5" s="151" t="s">
        <v>219</v>
      </c>
      <c r="AR5" s="81" t="s">
        <v>188</v>
      </c>
      <c r="AS5" s="79" t="s">
        <v>192</v>
      </c>
      <c r="AT5" s="152" t="s">
        <v>220</v>
      </c>
      <c r="AU5" s="153" t="s">
        <v>221</v>
      </c>
      <c r="AV5" s="153" t="s">
        <v>222</v>
      </c>
      <c r="AW5" s="167" t="s">
        <v>223</v>
      </c>
      <c r="AX5" s="167" t="s">
        <v>224</v>
      </c>
      <c r="AY5" s="81" t="s">
        <v>188</v>
      </c>
      <c r="AZ5" s="78" t="s">
        <v>192</v>
      </c>
      <c r="BA5" s="136" t="s">
        <v>225</v>
      </c>
      <c r="BB5" s="136" t="s">
        <v>226</v>
      </c>
      <c r="BC5" s="136" t="s">
        <v>227</v>
      </c>
      <c r="BD5" s="136" t="s">
        <v>228</v>
      </c>
      <c r="BE5" s="136" t="s">
        <v>229</v>
      </c>
      <c r="BF5" s="136" t="s">
        <v>230</v>
      </c>
      <c r="BG5" s="136" t="s">
        <v>231</v>
      </c>
      <c r="BH5" s="81" t="s">
        <v>188</v>
      </c>
      <c r="BI5" s="79" t="s">
        <v>192</v>
      </c>
      <c r="BJ5" s="79" t="s">
        <v>232</v>
      </c>
      <c r="BK5" s="79" t="s">
        <v>233</v>
      </c>
      <c r="BL5" s="81" t="s">
        <v>188</v>
      </c>
      <c r="BM5" s="136" t="s">
        <v>192</v>
      </c>
      <c r="BN5" s="151" t="s">
        <v>234</v>
      </c>
      <c r="BO5" s="136" t="s">
        <v>192</v>
      </c>
      <c r="BP5" s="76"/>
      <c r="BQ5" s="79" t="s">
        <v>235</v>
      </c>
      <c r="BR5" s="81" t="s">
        <v>188</v>
      </c>
      <c r="BS5" s="181" t="s">
        <v>192</v>
      </c>
      <c r="BT5" s="78" t="s">
        <v>236</v>
      </c>
      <c r="BU5" s="78" t="s">
        <v>237</v>
      </c>
      <c r="BV5" s="78" t="s">
        <v>238</v>
      </c>
      <c r="BW5" s="81" t="s">
        <v>188</v>
      </c>
      <c r="BX5" s="181" t="s">
        <v>192</v>
      </c>
      <c r="BY5" s="191" t="s">
        <v>239</v>
      </c>
      <c r="BZ5" s="192" t="s">
        <v>188</v>
      </c>
      <c r="CA5" s="181" t="s">
        <v>192</v>
      </c>
      <c r="CB5" s="79" t="s">
        <v>240</v>
      </c>
      <c r="CC5" s="79" t="s">
        <v>241</v>
      </c>
      <c r="CD5" s="205"/>
    </row>
    <row r="6" s="43" customFormat="1" ht="50" customHeight="1" spans="1:82">
      <c r="A6" s="82"/>
      <c r="B6" s="83" t="s">
        <v>242</v>
      </c>
      <c r="C6" s="83" t="s">
        <v>243</v>
      </c>
      <c r="D6" s="84" t="s">
        <v>244</v>
      </c>
      <c r="E6" s="85" t="s">
        <v>242</v>
      </c>
      <c r="F6" s="85" t="s">
        <v>245</v>
      </c>
      <c r="G6" s="83" t="s">
        <v>246</v>
      </c>
      <c r="H6" s="84" t="s">
        <v>247</v>
      </c>
      <c r="I6" s="85" t="s">
        <v>242</v>
      </c>
      <c r="J6" s="85" t="s">
        <v>245</v>
      </c>
      <c r="K6" s="85" t="s">
        <v>248</v>
      </c>
      <c r="L6" s="111" t="s">
        <v>249</v>
      </c>
      <c r="M6" s="112" t="s">
        <v>250</v>
      </c>
      <c r="N6" s="113" t="s">
        <v>251</v>
      </c>
      <c r="O6" s="113" t="s">
        <v>252</v>
      </c>
      <c r="P6" s="113" t="s">
        <v>253</v>
      </c>
      <c r="Q6" s="85" t="s">
        <v>242</v>
      </c>
      <c r="R6" s="85" t="s">
        <v>245</v>
      </c>
      <c r="S6" s="112" t="s">
        <v>254</v>
      </c>
      <c r="T6" s="83" t="s">
        <v>255</v>
      </c>
      <c r="U6" s="83" t="s">
        <v>256</v>
      </c>
      <c r="V6" s="113" t="s">
        <v>257</v>
      </c>
      <c r="W6" s="85" t="s">
        <v>242</v>
      </c>
      <c r="X6" s="85" t="s">
        <v>245</v>
      </c>
      <c r="Y6" s="85" t="s">
        <v>248</v>
      </c>
      <c r="Z6" s="139" t="s">
        <v>249</v>
      </c>
      <c r="AA6" s="139" t="s">
        <v>258</v>
      </c>
      <c r="AB6" s="140" t="s">
        <v>259</v>
      </c>
      <c r="AC6" s="102" t="s">
        <v>260</v>
      </c>
      <c r="AD6" s="112" t="s">
        <v>261</v>
      </c>
      <c r="AE6" s="84" t="s">
        <v>262</v>
      </c>
      <c r="AF6" s="111" t="s">
        <v>263</v>
      </c>
      <c r="AG6" s="111" t="s">
        <v>264</v>
      </c>
      <c r="AH6" s="111" t="s">
        <v>265</v>
      </c>
      <c r="AI6" s="146" t="s">
        <v>266</v>
      </c>
      <c r="AJ6" s="111" t="s">
        <v>267</v>
      </c>
      <c r="AK6" s="111" t="s">
        <v>268</v>
      </c>
      <c r="AL6" s="111" t="s">
        <v>269</v>
      </c>
      <c r="AM6" s="111" t="s">
        <v>270</v>
      </c>
      <c r="AN6" s="112" t="s">
        <v>271</v>
      </c>
      <c r="AO6" s="84" t="s">
        <v>272</v>
      </c>
      <c r="AP6" s="85" t="s">
        <v>242</v>
      </c>
      <c r="AQ6" s="85" t="s">
        <v>245</v>
      </c>
      <c r="AR6" s="83" t="s">
        <v>273</v>
      </c>
      <c r="AS6" s="84" t="s">
        <v>274</v>
      </c>
      <c r="AT6" s="85" t="s">
        <v>242</v>
      </c>
      <c r="AU6" s="85" t="s">
        <v>245</v>
      </c>
      <c r="AV6" s="85" t="s">
        <v>248</v>
      </c>
      <c r="AW6" s="139" t="s">
        <v>249</v>
      </c>
      <c r="AX6" s="139" t="s">
        <v>258</v>
      </c>
      <c r="AY6" s="168" t="s">
        <v>275</v>
      </c>
      <c r="AZ6" s="169" t="s">
        <v>276</v>
      </c>
      <c r="BA6" s="85" t="s">
        <v>242</v>
      </c>
      <c r="BB6" s="85" t="s">
        <v>245</v>
      </c>
      <c r="BC6" s="85" t="s">
        <v>248</v>
      </c>
      <c r="BD6" s="139" t="s">
        <v>249</v>
      </c>
      <c r="BE6" s="139" t="s">
        <v>258</v>
      </c>
      <c r="BF6" s="139" t="s">
        <v>259</v>
      </c>
      <c r="BG6" s="139" t="s">
        <v>260</v>
      </c>
      <c r="BH6" s="177" t="s">
        <v>277</v>
      </c>
      <c r="BI6" s="84" t="s">
        <v>278</v>
      </c>
      <c r="BJ6" s="85" t="s">
        <v>242</v>
      </c>
      <c r="BK6" s="85" t="s">
        <v>245</v>
      </c>
      <c r="BL6" s="112" t="s">
        <v>279</v>
      </c>
      <c r="BM6" s="82" t="s">
        <v>280</v>
      </c>
      <c r="BN6" s="85" t="s">
        <v>242</v>
      </c>
      <c r="BO6" s="82" t="s">
        <v>281</v>
      </c>
      <c r="BP6" s="82" t="s">
        <v>282</v>
      </c>
      <c r="BQ6" s="139" t="s">
        <v>242</v>
      </c>
      <c r="BR6" s="112" t="s">
        <v>283</v>
      </c>
      <c r="BS6" s="182" t="s">
        <v>284</v>
      </c>
      <c r="BT6" s="85" t="s">
        <v>242</v>
      </c>
      <c r="BU6" s="85" t="s">
        <v>245</v>
      </c>
      <c r="BV6" s="85" t="s">
        <v>248</v>
      </c>
      <c r="BW6" s="112" t="s">
        <v>285</v>
      </c>
      <c r="BX6" s="182" t="s">
        <v>286</v>
      </c>
      <c r="BY6" s="85" t="s">
        <v>242</v>
      </c>
      <c r="BZ6" s="83" t="s">
        <v>245</v>
      </c>
      <c r="CA6" s="193" t="s">
        <v>287</v>
      </c>
      <c r="CB6" s="174" t="s">
        <v>288</v>
      </c>
      <c r="CC6" s="174" t="s">
        <v>289</v>
      </c>
      <c r="CD6" s="206" t="s">
        <v>290</v>
      </c>
    </row>
    <row r="7" s="44" customFormat="1" ht="13" customHeight="1" spans="1:83">
      <c r="A7" s="86" t="s">
        <v>106</v>
      </c>
      <c r="B7" s="87">
        <f t="shared" ref="B7:AG7" si="0">B8+B33</f>
        <v>16809675</v>
      </c>
      <c r="C7" s="88">
        <f t="shared" si="0"/>
        <v>1</v>
      </c>
      <c r="D7" s="89">
        <f t="shared" si="0"/>
        <v>205</v>
      </c>
      <c r="E7" s="90">
        <f t="shared" si="0"/>
        <v>29912</v>
      </c>
      <c r="F7" s="90">
        <f t="shared" si="0"/>
        <v>766247</v>
      </c>
      <c r="G7" s="91">
        <f t="shared" si="0"/>
        <v>1</v>
      </c>
      <c r="H7" s="92">
        <f t="shared" si="0"/>
        <v>2832</v>
      </c>
      <c r="I7" s="90">
        <f t="shared" si="0"/>
        <v>209</v>
      </c>
      <c r="J7" s="90">
        <f t="shared" si="0"/>
        <v>1</v>
      </c>
      <c r="K7" s="90">
        <f t="shared" si="0"/>
        <v>1</v>
      </c>
      <c r="L7" s="90">
        <f t="shared" si="0"/>
        <v>16661</v>
      </c>
      <c r="M7" s="114">
        <f t="shared" si="0"/>
        <v>1.0001</v>
      </c>
      <c r="N7" s="92">
        <f t="shared" si="0"/>
        <v>701.4</v>
      </c>
      <c r="O7" s="92">
        <f t="shared" si="0"/>
        <v>500</v>
      </c>
      <c r="P7" s="92">
        <f t="shared" si="0"/>
        <v>1201.4</v>
      </c>
      <c r="Q7" s="90">
        <f t="shared" si="0"/>
        <v>86049</v>
      </c>
      <c r="R7" s="90">
        <f t="shared" si="0"/>
        <v>116625</v>
      </c>
      <c r="S7" s="91">
        <f t="shared" si="0"/>
        <v>1</v>
      </c>
      <c r="T7" s="91">
        <f t="shared" si="0"/>
        <v>0.80795</v>
      </c>
      <c r="U7" s="91">
        <f t="shared" si="0"/>
        <v>1</v>
      </c>
      <c r="V7" s="92">
        <f t="shared" si="0"/>
        <v>1329.42</v>
      </c>
      <c r="W7" s="90">
        <f t="shared" si="0"/>
        <v>2610</v>
      </c>
      <c r="X7" s="90">
        <f t="shared" si="0"/>
        <v>5</v>
      </c>
      <c r="Y7" s="90">
        <f t="shared" si="0"/>
        <v>1</v>
      </c>
      <c r="Z7" s="90">
        <f t="shared" si="0"/>
        <v>6</v>
      </c>
      <c r="AA7" s="90">
        <f t="shared" si="0"/>
        <v>30</v>
      </c>
      <c r="AB7" s="90">
        <f t="shared" si="0"/>
        <v>2</v>
      </c>
      <c r="AC7" s="90">
        <f t="shared" si="0"/>
        <v>2</v>
      </c>
      <c r="AD7" s="91">
        <f t="shared" si="0"/>
        <v>1</v>
      </c>
      <c r="AE7" s="92">
        <f t="shared" si="0"/>
        <v>299.2</v>
      </c>
      <c r="AF7" s="87">
        <f t="shared" si="0"/>
        <v>72</v>
      </c>
      <c r="AG7" s="87">
        <f t="shared" si="0"/>
        <v>1313</v>
      </c>
      <c r="AH7" s="87">
        <f t="shared" ref="AH7:BM7" si="1">AH8+AH33</f>
        <v>3500</v>
      </c>
      <c r="AI7" s="87">
        <f t="shared" si="1"/>
        <v>1630</v>
      </c>
      <c r="AJ7" s="87">
        <f t="shared" si="1"/>
        <v>15</v>
      </c>
      <c r="AK7" s="87">
        <f t="shared" si="1"/>
        <v>35</v>
      </c>
      <c r="AL7" s="87">
        <f t="shared" si="1"/>
        <v>4</v>
      </c>
      <c r="AM7" s="87">
        <f t="shared" si="1"/>
        <v>4</v>
      </c>
      <c r="AN7" s="88">
        <f t="shared" si="1"/>
        <v>1</v>
      </c>
      <c r="AO7" s="89">
        <f t="shared" si="1"/>
        <v>188.45</v>
      </c>
      <c r="AP7" s="87">
        <f t="shared" si="1"/>
        <v>792</v>
      </c>
      <c r="AQ7" s="87">
        <f t="shared" si="1"/>
        <v>30623</v>
      </c>
      <c r="AR7" s="88">
        <f t="shared" si="1"/>
        <v>1</v>
      </c>
      <c r="AS7" s="89">
        <f t="shared" si="1"/>
        <v>373.8</v>
      </c>
      <c r="AT7" s="154">
        <f t="shared" si="1"/>
        <v>363222</v>
      </c>
      <c r="AU7" s="154">
        <f t="shared" si="1"/>
        <v>8300</v>
      </c>
      <c r="AV7" s="154">
        <f t="shared" si="1"/>
        <v>2858</v>
      </c>
      <c r="AW7" s="154">
        <f t="shared" si="1"/>
        <v>165</v>
      </c>
      <c r="AX7" s="154">
        <f t="shared" si="1"/>
        <v>14</v>
      </c>
      <c r="AY7" s="170">
        <f t="shared" si="1"/>
        <v>0.999995659133012</v>
      </c>
      <c r="AZ7" s="171">
        <f t="shared" si="1"/>
        <v>1349.5</v>
      </c>
      <c r="BA7" s="172">
        <f t="shared" si="1"/>
        <v>24</v>
      </c>
      <c r="BB7" s="172">
        <f t="shared" si="1"/>
        <v>19</v>
      </c>
      <c r="BC7" s="172">
        <f t="shared" si="1"/>
        <v>3</v>
      </c>
      <c r="BD7" s="172">
        <f t="shared" si="1"/>
        <v>124</v>
      </c>
      <c r="BE7" s="172">
        <f t="shared" si="1"/>
        <v>5</v>
      </c>
      <c r="BF7" s="172">
        <f t="shared" si="1"/>
        <v>2</v>
      </c>
      <c r="BG7" s="172">
        <f t="shared" si="1"/>
        <v>62</v>
      </c>
      <c r="BH7" s="104">
        <f t="shared" si="1"/>
        <v>1</v>
      </c>
      <c r="BI7" s="89">
        <f t="shared" si="1"/>
        <v>786</v>
      </c>
      <c r="BJ7" s="90">
        <f t="shared" si="1"/>
        <v>32000</v>
      </c>
      <c r="BK7" s="90">
        <f t="shared" si="1"/>
        <v>12000</v>
      </c>
      <c r="BL7" s="114">
        <f t="shared" si="1"/>
        <v>0.9998</v>
      </c>
      <c r="BM7" s="178">
        <f t="shared" si="1"/>
        <v>125</v>
      </c>
      <c r="BN7" s="90">
        <f t="shared" ref="BN7:CD7" si="2">BN8+BN33</f>
        <v>7000</v>
      </c>
      <c r="BO7" s="178">
        <f t="shared" si="2"/>
        <v>35</v>
      </c>
      <c r="BP7" s="178">
        <f t="shared" si="2"/>
        <v>976</v>
      </c>
      <c r="BQ7" s="90">
        <f t="shared" si="2"/>
        <v>3855</v>
      </c>
      <c r="BR7" s="104">
        <f t="shared" si="2"/>
        <v>1</v>
      </c>
      <c r="BS7" s="183">
        <f t="shared" si="2"/>
        <v>631</v>
      </c>
      <c r="BT7" s="184">
        <f t="shared" si="2"/>
        <v>83</v>
      </c>
      <c r="BU7" s="184">
        <f t="shared" si="2"/>
        <v>9</v>
      </c>
      <c r="BV7" s="184">
        <f t="shared" si="2"/>
        <v>87</v>
      </c>
      <c r="BW7" s="88">
        <f t="shared" si="2"/>
        <v>1</v>
      </c>
      <c r="BX7" s="183">
        <f t="shared" si="2"/>
        <v>95.48</v>
      </c>
      <c r="BY7" s="103">
        <f t="shared" si="2"/>
        <v>7</v>
      </c>
      <c r="BZ7" s="104">
        <f t="shared" si="2"/>
        <v>1</v>
      </c>
      <c r="CA7" s="105">
        <f t="shared" si="2"/>
        <v>21</v>
      </c>
      <c r="CB7" s="105">
        <f t="shared" si="2"/>
        <v>40</v>
      </c>
      <c r="CC7" s="105">
        <f t="shared" si="2"/>
        <v>50</v>
      </c>
      <c r="CD7" s="207">
        <f t="shared" si="2"/>
        <v>9592.25</v>
      </c>
      <c r="CE7" s="45"/>
    </row>
    <row r="8" s="44" customFormat="1" ht="13" customHeight="1" spans="1:83">
      <c r="A8" s="93" t="s">
        <v>291</v>
      </c>
      <c r="B8" s="87">
        <f t="shared" ref="B8:AG8" si="3">SUM(B9:B20)+SUM(B25:B32)</f>
        <v>9704681</v>
      </c>
      <c r="C8" s="88">
        <f t="shared" si="3"/>
        <v>0.5777</v>
      </c>
      <c r="D8" s="89">
        <f t="shared" si="3"/>
        <v>118.44</v>
      </c>
      <c r="E8" s="90">
        <f t="shared" si="3"/>
        <v>19353</v>
      </c>
      <c r="F8" s="90">
        <f t="shared" si="3"/>
        <v>421275</v>
      </c>
      <c r="G8" s="91">
        <f t="shared" si="3"/>
        <v>0.6001</v>
      </c>
      <c r="H8" s="92">
        <f t="shared" si="3"/>
        <v>1683.48</v>
      </c>
      <c r="I8" s="90">
        <f t="shared" si="3"/>
        <v>209</v>
      </c>
      <c r="J8" s="90">
        <f t="shared" si="3"/>
        <v>0</v>
      </c>
      <c r="K8" s="90">
        <f t="shared" si="3"/>
        <v>1</v>
      </c>
      <c r="L8" s="90">
        <f t="shared" si="3"/>
        <v>10810</v>
      </c>
      <c r="M8" s="114">
        <f t="shared" si="3"/>
        <v>0.8664</v>
      </c>
      <c r="N8" s="92">
        <f t="shared" si="3"/>
        <v>607.33</v>
      </c>
      <c r="O8" s="92">
        <f t="shared" si="3"/>
        <v>400</v>
      </c>
      <c r="P8" s="92">
        <f t="shared" si="3"/>
        <v>1007.33</v>
      </c>
      <c r="Q8" s="90">
        <f t="shared" si="3"/>
        <v>85079</v>
      </c>
      <c r="R8" s="90">
        <f t="shared" si="3"/>
        <v>116325</v>
      </c>
      <c r="S8" s="91">
        <f t="shared" si="3"/>
        <v>0.9971</v>
      </c>
      <c r="T8" s="91">
        <f t="shared" si="3"/>
        <v>0.80505</v>
      </c>
      <c r="U8" s="91">
        <f t="shared" si="3"/>
        <v>0.9965</v>
      </c>
      <c r="V8" s="92">
        <f t="shared" si="3"/>
        <v>1324.77</v>
      </c>
      <c r="W8" s="90">
        <f t="shared" si="3"/>
        <v>2610</v>
      </c>
      <c r="X8" s="90">
        <f t="shared" si="3"/>
        <v>1</v>
      </c>
      <c r="Y8" s="90">
        <f t="shared" si="3"/>
        <v>0</v>
      </c>
      <c r="Z8" s="90">
        <f t="shared" si="3"/>
        <v>3</v>
      </c>
      <c r="AA8" s="90">
        <f t="shared" si="3"/>
        <v>15</v>
      </c>
      <c r="AB8" s="90">
        <f t="shared" si="3"/>
        <v>1</v>
      </c>
      <c r="AC8" s="90">
        <f t="shared" si="3"/>
        <v>1</v>
      </c>
      <c r="AD8" s="91">
        <f t="shared" si="3"/>
        <v>0.5371</v>
      </c>
      <c r="AE8" s="141">
        <f t="shared" si="3"/>
        <v>160.72</v>
      </c>
      <c r="AF8" s="87">
        <f t="shared" si="3"/>
        <v>37</v>
      </c>
      <c r="AG8" s="87">
        <f t="shared" si="3"/>
        <v>1313</v>
      </c>
      <c r="AH8" s="87">
        <f t="shared" ref="AH8:BM8" si="4">SUM(AH9:AH20)+SUM(AH25:AH32)</f>
        <v>3000</v>
      </c>
      <c r="AI8" s="87">
        <f t="shared" si="4"/>
        <v>1530</v>
      </c>
      <c r="AJ8" s="87">
        <f t="shared" si="4"/>
        <v>15</v>
      </c>
      <c r="AK8" s="87">
        <f t="shared" si="4"/>
        <v>25</v>
      </c>
      <c r="AL8" s="87">
        <f t="shared" si="4"/>
        <v>2</v>
      </c>
      <c r="AM8" s="87">
        <f t="shared" si="4"/>
        <v>4</v>
      </c>
      <c r="AN8" s="88">
        <f t="shared" si="4"/>
        <v>0.6514</v>
      </c>
      <c r="AO8" s="89">
        <f t="shared" si="4"/>
        <v>122.16</v>
      </c>
      <c r="AP8" s="87">
        <f t="shared" si="4"/>
        <v>360</v>
      </c>
      <c r="AQ8" s="87">
        <f t="shared" si="4"/>
        <v>17320</v>
      </c>
      <c r="AR8" s="88">
        <f t="shared" si="4"/>
        <v>0.4628234371919</v>
      </c>
      <c r="AS8" s="89">
        <f t="shared" si="4"/>
        <v>173.01</v>
      </c>
      <c r="AT8" s="154">
        <f t="shared" si="4"/>
        <v>197798</v>
      </c>
      <c r="AU8" s="154">
        <f t="shared" si="4"/>
        <v>5708</v>
      </c>
      <c r="AV8" s="154">
        <f t="shared" si="4"/>
        <v>1562</v>
      </c>
      <c r="AW8" s="154">
        <f t="shared" si="4"/>
        <v>150</v>
      </c>
      <c r="AX8" s="154">
        <f t="shared" si="4"/>
        <v>13</v>
      </c>
      <c r="AY8" s="170">
        <f t="shared" si="4"/>
        <v>0.776527660615043</v>
      </c>
      <c r="AZ8" s="171">
        <f t="shared" si="4"/>
        <v>1045.81</v>
      </c>
      <c r="BA8" s="172">
        <f t="shared" si="4"/>
        <v>17</v>
      </c>
      <c r="BB8" s="172">
        <f t="shared" si="4"/>
        <v>10</v>
      </c>
      <c r="BC8" s="172">
        <f t="shared" si="4"/>
        <v>3</v>
      </c>
      <c r="BD8" s="172">
        <f t="shared" si="4"/>
        <v>89</v>
      </c>
      <c r="BE8" s="172">
        <f t="shared" si="4"/>
        <v>5</v>
      </c>
      <c r="BF8" s="172">
        <f t="shared" si="4"/>
        <v>2</v>
      </c>
      <c r="BG8" s="172">
        <f t="shared" si="4"/>
        <v>39</v>
      </c>
      <c r="BH8" s="172">
        <f t="shared" si="4"/>
        <v>0.7092</v>
      </c>
      <c r="BI8" s="89">
        <f t="shared" si="4"/>
        <v>555.51</v>
      </c>
      <c r="BJ8" s="90">
        <f t="shared" si="4"/>
        <v>24000</v>
      </c>
      <c r="BK8" s="90">
        <f t="shared" si="4"/>
        <v>9000</v>
      </c>
      <c r="BL8" s="114">
        <f t="shared" si="4"/>
        <v>0.7499</v>
      </c>
      <c r="BM8" s="178">
        <f t="shared" si="4"/>
        <v>93.75</v>
      </c>
      <c r="BN8" s="90">
        <f t="shared" ref="BN8:CD8" si="5">SUM(BN9:BN20)+SUM(BN25:BN32)</f>
        <v>7000</v>
      </c>
      <c r="BO8" s="178">
        <f t="shared" si="5"/>
        <v>35</v>
      </c>
      <c r="BP8" s="178">
        <f t="shared" si="5"/>
        <v>714.26</v>
      </c>
      <c r="BQ8" s="185">
        <f t="shared" si="5"/>
        <v>2051</v>
      </c>
      <c r="BR8" s="104">
        <f t="shared" si="5"/>
        <v>0.532036316472114</v>
      </c>
      <c r="BS8" s="92">
        <f t="shared" si="5"/>
        <v>333.51</v>
      </c>
      <c r="BT8" s="184">
        <f t="shared" si="5"/>
        <v>57</v>
      </c>
      <c r="BU8" s="184">
        <f t="shared" si="5"/>
        <v>6</v>
      </c>
      <c r="BV8" s="184">
        <f t="shared" si="5"/>
        <v>52</v>
      </c>
      <c r="BW8" s="88">
        <f t="shared" si="5"/>
        <v>0.671696440936159</v>
      </c>
      <c r="BX8" s="183">
        <f t="shared" si="5"/>
        <v>64</v>
      </c>
      <c r="BY8" s="103">
        <f t="shared" si="5"/>
        <v>7</v>
      </c>
      <c r="BZ8" s="104">
        <f t="shared" si="5"/>
        <v>1</v>
      </c>
      <c r="CA8" s="105">
        <f t="shared" si="5"/>
        <v>21</v>
      </c>
      <c r="CB8" s="105">
        <f t="shared" si="5"/>
        <v>40</v>
      </c>
      <c r="CC8" s="105">
        <f t="shared" si="5"/>
        <v>31</v>
      </c>
      <c r="CD8" s="207">
        <f t="shared" si="5"/>
        <v>6839.49</v>
      </c>
      <c r="CE8" s="45"/>
    </row>
    <row r="9" s="45" customFormat="1" ht="13" customHeight="1" spans="1:84">
      <c r="A9" s="94" t="s">
        <v>108</v>
      </c>
      <c r="B9" s="95"/>
      <c r="C9" s="96">
        <f t="shared" ref="C9:C20" si="6">ROUND(B9/B$7,4)</f>
        <v>0</v>
      </c>
      <c r="D9" s="97">
        <f t="shared" ref="D9:D20" si="7">ROUND(205*C9,2)</f>
        <v>0</v>
      </c>
      <c r="E9" s="98"/>
      <c r="F9" s="99"/>
      <c r="G9" s="100">
        <f t="shared" ref="G9:G19" si="8">ROUND((E9*0.0276+F9*0.001)/(E$7*0.0276+F$7*0.001),4)</f>
        <v>0</v>
      </c>
      <c r="H9" s="101">
        <f t="shared" ref="H9:H19" si="9">ROUND(2832*G9,2)</f>
        <v>0</v>
      </c>
      <c r="I9" s="115"/>
      <c r="J9" s="115"/>
      <c r="K9" s="115"/>
      <c r="L9" s="115"/>
      <c r="M9" s="116">
        <f t="shared" ref="M9:M32" si="10">ROUND((I9*4.1+J9*50+K9*10+L9*0.02)/1250.12,4)</f>
        <v>0</v>
      </c>
      <c r="N9" s="101">
        <f>ROUND(701.4*M9,2)</f>
        <v>0</v>
      </c>
      <c r="O9" s="101"/>
      <c r="P9" s="101">
        <f>N9+O9</f>
        <v>0</v>
      </c>
      <c r="Q9" s="121">
        <v>10520</v>
      </c>
      <c r="R9" s="122">
        <v>12870</v>
      </c>
      <c r="S9" s="123">
        <f>ROUND((Q9*0.0027+R9*0.055)/(Q$7*0.0027+R$7*0.055),4)-0.0001</f>
        <v>0.1107</v>
      </c>
      <c r="T9" s="123">
        <f t="shared" ref="T9:T12" si="11">0.5*S9</f>
        <v>0.05535</v>
      </c>
      <c r="U9" s="123">
        <f>ROUND(T9/SUM(T$9:T$20,T$25:T$32,T$34:T$68),4)+0.0001</f>
        <v>0.0686</v>
      </c>
      <c r="V9" s="124">
        <f>ROUND(1329.42*U9,2)+0.01</f>
        <v>91.21</v>
      </c>
      <c r="W9" s="115"/>
      <c r="X9" s="125"/>
      <c r="Y9" s="125"/>
      <c r="Z9" s="82"/>
      <c r="AA9" s="82"/>
      <c r="AB9" s="82"/>
      <c r="AC9" s="82"/>
      <c r="AD9" s="142">
        <f t="shared" ref="AD9:AD19" si="12">ROUND((W9*0.01+X9*2+Y9*2+Z9*5+AA9*2+AB9*37.15+AC9*20)/(W$7*0.01+X$7*2+Y$7*2+Z$7*5+AA$7*2+AB$7*37.15+AC$7*20),4)</f>
        <v>0</v>
      </c>
      <c r="AE9" s="84">
        <f t="shared" ref="AE9:AE19" si="13">+ROUND(299.2*AD9,2)</f>
        <v>0</v>
      </c>
      <c r="AF9" s="98"/>
      <c r="AG9" s="98"/>
      <c r="AH9" s="98"/>
      <c r="AI9" s="98"/>
      <c r="AJ9" s="98"/>
      <c r="AK9" s="98"/>
      <c r="AL9" s="98"/>
      <c r="AM9" s="98"/>
      <c r="AN9" s="147">
        <v>0</v>
      </c>
      <c r="AO9" s="97">
        <f>ROUND(188.45*AN9+1.95*AN9,2)</f>
        <v>0</v>
      </c>
      <c r="AP9" s="155"/>
      <c r="AQ9" s="156"/>
      <c r="AR9" s="96">
        <f t="shared" ref="AR9:AR19" si="14">(AP9*0.04*12+AQ9*0.001)/(AP$7*0.04*12+AQ$7*0.001)</f>
        <v>0</v>
      </c>
      <c r="AS9" s="97">
        <f t="shared" ref="AS9:AS19" si="15">ROUND(373.8*AR9,2)</f>
        <v>0</v>
      </c>
      <c r="AT9" s="157"/>
      <c r="AU9" s="157"/>
      <c r="AV9" s="157"/>
      <c r="AW9" s="157"/>
      <c r="AX9" s="157"/>
      <c r="AY9" s="96">
        <f t="shared" ref="AY9:AY19" si="16">(AT9*0.000861+AU9*0.025+AV9*0.08*2+AW9*1.5+AX9*20)/1349.5</f>
        <v>0</v>
      </c>
      <c r="AZ9" s="97">
        <f t="shared" ref="AZ9:AZ19" si="17">ROUND(AY9*1349.5+9.5269*AY9,2)</f>
        <v>0</v>
      </c>
      <c r="BA9" s="82"/>
      <c r="BB9" s="82"/>
      <c r="BC9" s="82">
        <v>1</v>
      </c>
      <c r="BD9" s="82"/>
      <c r="BE9" s="82"/>
      <c r="BF9" s="82"/>
      <c r="BG9" s="82"/>
      <c r="BH9" s="82">
        <f>ROUND((BA9*13+BB9*1.6+BC9*6+BD9*1+BE9*6.2+BF9*15+BG9*3)/786,4)</f>
        <v>0.0076</v>
      </c>
      <c r="BI9" s="97">
        <f>ROUND(786*BH9,1)</f>
        <v>6</v>
      </c>
      <c r="BJ9" s="98"/>
      <c r="BK9" s="99"/>
      <c r="BL9" s="116"/>
      <c r="BM9" s="186"/>
      <c r="BN9" s="187">
        <v>4000</v>
      </c>
      <c r="BO9" s="186">
        <v>20</v>
      </c>
      <c r="BP9" s="186">
        <f>BI9+BM9+BO9+30</f>
        <v>56</v>
      </c>
      <c r="BQ9" s="98"/>
      <c r="BR9" s="116">
        <f>BQ9/$BQ$7</f>
        <v>0</v>
      </c>
      <c r="BS9" s="188">
        <f t="shared" ref="BS9:BS19" si="18">ROUND(631*BR9,2)</f>
        <v>0</v>
      </c>
      <c r="BT9" s="189">
        <v>9</v>
      </c>
      <c r="BU9" s="189">
        <v>1</v>
      </c>
      <c r="BV9" s="194"/>
      <c r="BW9" s="116">
        <f>BT9/83*0.8+BU9/9*0.04+BV9/87*0.16</f>
        <v>0.0911914323962517</v>
      </c>
      <c r="BX9" s="188">
        <f>ROUND(95.48*BW9,2)+0.01</f>
        <v>8.72</v>
      </c>
      <c r="BY9" s="195">
        <v>1</v>
      </c>
      <c r="BZ9" s="196">
        <f>BY9/BY8</f>
        <v>0.142857142857143</v>
      </c>
      <c r="CA9" s="188">
        <f t="shared" ref="CA9:CA12" si="19">+BY9*BZ9*21</f>
        <v>3</v>
      </c>
      <c r="CB9" s="197"/>
      <c r="CC9" s="84">
        <v>0</v>
      </c>
      <c r="CD9" s="208">
        <f>D9+H9+P9+V9+AO9+AE9+AZ9+AS9+BP9+BS9+BX9+CA9+CB9+CC9</f>
        <v>158.93</v>
      </c>
      <c r="CF9" s="209"/>
    </row>
    <row r="10" s="45" customFormat="1" ht="13" customHeight="1" spans="1:84">
      <c r="A10" s="94" t="s">
        <v>109</v>
      </c>
      <c r="B10" s="95"/>
      <c r="C10" s="96">
        <f t="shared" si="6"/>
        <v>0</v>
      </c>
      <c r="D10" s="97">
        <f t="shared" si="7"/>
        <v>0</v>
      </c>
      <c r="E10" s="98"/>
      <c r="F10" s="99"/>
      <c r="G10" s="100">
        <f t="shared" si="8"/>
        <v>0</v>
      </c>
      <c r="H10" s="101">
        <f t="shared" si="9"/>
        <v>0</v>
      </c>
      <c r="I10" s="115"/>
      <c r="J10" s="115"/>
      <c r="K10" s="115"/>
      <c r="L10" s="115"/>
      <c r="M10" s="116">
        <f t="shared" si="10"/>
        <v>0</v>
      </c>
      <c r="N10" s="101">
        <f>ROUND(701.4*M10,2)</f>
        <v>0</v>
      </c>
      <c r="O10" s="101"/>
      <c r="P10" s="101">
        <f t="shared" ref="P10:P28" si="20">N10+O10</f>
        <v>0</v>
      </c>
      <c r="Q10" s="121">
        <v>4754</v>
      </c>
      <c r="R10" s="122">
        <v>9320</v>
      </c>
      <c r="S10" s="123">
        <f>ROUND((Q10*0.0027+R10*0.055)/(Q$7*0.0027+R$7*0.055),4)</f>
        <v>0.0791</v>
      </c>
      <c r="T10" s="123">
        <f t="shared" si="11"/>
        <v>0.03955</v>
      </c>
      <c r="U10" s="123">
        <f t="shared" ref="U9:U11" si="21">ROUND(T10/SUM(T$9:T$20,T$25:T$32,T$34:T$68),4)</f>
        <v>0.049</v>
      </c>
      <c r="V10" s="124">
        <f>ROUND(1329.42*U10,2)</f>
        <v>65.14</v>
      </c>
      <c r="W10" s="115"/>
      <c r="X10" s="125"/>
      <c r="Y10" s="125"/>
      <c r="Z10" s="82"/>
      <c r="AA10" s="82"/>
      <c r="AB10" s="82"/>
      <c r="AC10" s="82"/>
      <c r="AD10" s="142">
        <f t="shared" si="12"/>
        <v>0</v>
      </c>
      <c r="AE10" s="84">
        <f t="shared" si="13"/>
        <v>0</v>
      </c>
      <c r="AF10" s="98"/>
      <c r="AG10" s="98"/>
      <c r="AH10" s="98"/>
      <c r="AI10" s="98"/>
      <c r="AJ10" s="98"/>
      <c r="AK10" s="98"/>
      <c r="AL10" s="98">
        <v>1</v>
      </c>
      <c r="AM10" s="98"/>
      <c r="AN10" s="147">
        <v>0.0531</v>
      </c>
      <c r="AO10" s="97">
        <f>ROUND(188.45*AN10,2)-0.01</f>
        <v>10</v>
      </c>
      <c r="AP10" s="155"/>
      <c r="AQ10" s="156"/>
      <c r="AR10" s="96">
        <f t="shared" si="14"/>
        <v>0</v>
      </c>
      <c r="AS10" s="97">
        <f t="shared" si="15"/>
        <v>0</v>
      </c>
      <c r="AT10" s="157"/>
      <c r="AU10" s="157"/>
      <c r="AV10" s="157"/>
      <c r="AW10" s="157"/>
      <c r="AX10" s="157"/>
      <c r="AY10" s="96">
        <f t="shared" si="16"/>
        <v>0</v>
      </c>
      <c r="AZ10" s="97">
        <f t="shared" si="17"/>
        <v>0</v>
      </c>
      <c r="BA10" s="82"/>
      <c r="BB10" s="82"/>
      <c r="BC10" s="82"/>
      <c r="BD10" s="82"/>
      <c r="BE10" s="82">
        <v>1</v>
      </c>
      <c r="BF10" s="82"/>
      <c r="BG10" s="82"/>
      <c r="BH10" s="82">
        <f t="shared" ref="BH9:BH12" si="22">ROUND((BA10*13+BB10*1.6+BC10*6+BD10*1+BE10*6.2+BF10*15+BG10*3)/786,4)</f>
        <v>0.0079</v>
      </c>
      <c r="BI10" s="97">
        <f>ROUND(786*BH10,1)</f>
        <v>6.2</v>
      </c>
      <c r="BJ10" s="98"/>
      <c r="BK10" s="99"/>
      <c r="BL10" s="116"/>
      <c r="BM10" s="186"/>
      <c r="BN10" s="187">
        <v>1000</v>
      </c>
      <c r="BO10" s="186">
        <v>5</v>
      </c>
      <c r="BP10" s="186">
        <f t="shared" ref="BP10:BP18" si="23">BI10+BM10+BO10</f>
        <v>11.2</v>
      </c>
      <c r="BQ10" s="98"/>
      <c r="BR10" s="116">
        <f t="shared" ref="BR10:BR20" si="24">BQ10/$BQ$7</f>
        <v>0</v>
      </c>
      <c r="BS10" s="188">
        <f t="shared" si="18"/>
        <v>0</v>
      </c>
      <c r="BT10" s="189">
        <v>1</v>
      </c>
      <c r="BU10" s="189"/>
      <c r="BV10" s="194"/>
      <c r="BW10" s="116">
        <f t="shared" ref="BW9:BW19" si="25">BT10/83*0.8+BU10/9*0.04+BV10/87*0.16</f>
        <v>0.00963855421686747</v>
      </c>
      <c r="BX10" s="188">
        <f>ROUND(95.48*BW10,2)</f>
        <v>0.92</v>
      </c>
      <c r="BY10" s="195">
        <v>1</v>
      </c>
      <c r="BZ10" s="196">
        <f>BY10/BY8</f>
        <v>0.142857142857143</v>
      </c>
      <c r="CA10" s="188">
        <f t="shared" si="19"/>
        <v>3</v>
      </c>
      <c r="CB10" s="197"/>
      <c r="CC10" s="84">
        <v>3</v>
      </c>
      <c r="CD10" s="208">
        <f t="shared" ref="CD9:CD40" si="26">D10+H10+P10+V10+AO10+AE10+AZ10+AS10+BP10+BS10+BX10+CA10+CB10+CC10</f>
        <v>93.26</v>
      </c>
      <c r="CF10" s="209"/>
    </row>
    <row r="11" s="43" customFormat="1" ht="13" customHeight="1" spans="1:84">
      <c r="A11" s="94" t="s">
        <v>110</v>
      </c>
      <c r="B11" s="95">
        <v>1581426</v>
      </c>
      <c r="C11" s="96">
        <f>ROUND(B11/B$7,4)+0.0004</f>
        <v>0.0945</v>
      </c>
      <c r="D11" s="97">
        <f t="shared" si="7"/>
        <v>19.37</v>
      </c>
      <c r="E11" s="98">
        <v>1889</v>
      </c>
      <c r="F11" s="99">
        <v>55084</v>
      </c>
      <c r="G11" s="100">
        <f t="shared" si="8"/>
        <v>0.0674</v>
      </c>
      <c r="H11" s="101">
        <f>ROUND(2832*G11+40*G11,2)</f>
        <v>193.57</v>
      </c>
      <c r="I11" s="115">
        <v>78</v>
      </c>
      <c r="J11" s="115"/>
      <c r="K11" s="115"/>
      <c r="L11" s="115">
        <v>2302</v>
      </c>
      <c r="M11" s="116">
        <f t="shared" si="10"/>
        <v>0.2926</v>
      </c>
      <c r="N11" s="101">
        <f>ROUND(701.4*M11+2.17*M11,2)</f>
        <v>205.86</v>
      </c>
      <c r="O11" s="101">
        <v>100</v>
      </c>
      <c r="P11" s="101">
        <f t="shared" si="20"/>
        <v>305.86</v>
      </c>
      <c r="Q11" s="121">
        <v>2935</v>
      </c>
      <c r="R11" s="122">
        <v>4545</v>
      </c>
      <c r="S11" s="123">
        <f t="shared" ref="S11:S19" si="27">ROUND((Q11*0.0027+R11*0.055)/(Q$7*0.0027+R$7*0.055),4)</f>
        <v>0.0388</v>
      </c>
      <c r="T11" s="123">
        <f>S11</f>
        <v>0.0388</v>
      </c>
      <c r="U11" s="123">
        <f t="shared" si="21"/>
        <v>0.048</v>
      </c>
      <c r="V11" s="124">
        <f t="shared" ref="V11:V19" si="28">ROUND(1329.42*U11,2)</f>
        <v>63.81</v>
      </c>
      <c r="W11" s="115">
        <v>210</v>
      </c>
      <c r="X11" s="125"/>
      <c r="Y11" s="125"/>
      <c r="Z11" s="82"/>
      <c r="AA11" s="82"/>
      <c r="AB11" s="82"/>
      <c r="AC11" s="82"/>
      <c r="AD11" s="142">
        <f>ROUND((W11*0.01+X11*2+Y11*2+Z11*5+AA11*2+AB11*37.15+AC11*20)/(W$7*0.01+X$7*2+Y$7*2+Z$7*5+AA$7*2+AB$7*37.15+AC$7*20),4)-0.0002</f>
        <v>0.0085</v>
      </c>
      <c r="AE11" s="84">
        <f t="shared" si="13"/>
        <v>2.54</v>
      </c>
      <c r="AF11" s="98">
        <v>3</v>
      </c>
      <c r="AG11" s="98">
        <v>75</v>
      </c>
      <c r="AH11" s="98">
        <v>250</v>
      </c>
      <c r="AI11" s="98">
        <v>100</v>
      </c>
      <c r="AJ11" s="98">
        <v>1</v>
      </c>
      <c r="AK11" s="98">
        <v>1</v>
      </c>
      <c r="AL11" s="98">
        <v>0</v>
      </c>
      <c r="AM11" s="98">
        <v>0</v>
      </c>
      <c r="AN11" s="147">
        <v>0.0304</v>
      </c>
      <c r="AO11" s="97">
        <f>ROUND(188.45*AN11+1.95*AN11,2)</f>
        <v>5.79</v>
      </c>
      <c r="AP11" s="155">
        <v>14</v>
      </c>
      <c r="AQ11" s="156">
        <v>2773</v>
      </c>
      <c r="AR11" s="96">
        <f t="shared" si="14"/>
        <v>0.0231095249803424</v>
      </c>
      <c r="AS11" s="97">
        <f t="shared" si="15"/>
        <v>8.64</v>
      </c>
      <c r="AT11" s="157">
        <v>27575</v>
      </c>
      <c r="AU11" s="157">
        <v>408</v>
      </c>
      <c r="AV11" s="157">
        <v>118</v>
      </c>
      <c r="AW11" s="157">
        <v>15</v>
      </c>
      <c r="AX11" s="157">
        <v>1</v>
      </c>
      <c r="AY11" s="96">
        <f t="shared" si="16"/>
        <v>0.0706351055946647</v>
      </c>
      <c r="AZ11" s="97">
        <f t="shared" si="17"/>
        <v>96</v>
      </c>
      <c r="BA11" s="82">
        <v>1</v>
      </c>
      <c r="BB11" s="82">
        <v>1</v>
      </c>
      <c r="BC11" s="82"/>
      <c r="BD11" s="82">
        <v>6</v>
      </c>
      <c r="BE11" s="82"/>
      <c r="BF11" s="82"/>
      <c r="BG11" s="82">
        <v>4</v>
      </c>
      <c r="BH11" s="82">
        <f t="shared" ref="BH11:BH17" si="29">ROUND((BA11*13+1.5+BB11*1.6+BC11*6+BD11*1+BE11*6.2+BF11*15+1+BG11*3)/786,4)</f>
        <v>0.0447</v>
      </c>
      <c r="BI11" s="97">
        <f>ROUND(786*BH11+6.6*BH11,2)</f>
        <v>35.43</v>
      </c>
      <c r="BJ11" s="98">
        <v>4000</v>
      </c>
      <c r="BK11" s="99"/>
      <c r="BL11" s="116">
        <f>ROUND((BJ11*0.0035+BK11*0.003)/148,4)</f>
        <v>0.0946</v>
      </c>
      <c r="BM11" s="186">
        <f>ROUND(125*BL11,2)</f>
        <v>11.83</v>
      </c>
      <c r="BN11" s="187"/>
      <c r="BO11" s="186"/>
      <c r="BP11" s="186">
        <f t="shared" si="23"/>
        <v>47.26</v>
      </c>
      <c r="BQ11" s="98">
        <v>147</v>
      </c>
      <c r="BR11" s="116">
        <f t="shared" si="24"/>
        <v>0.0381322957198444</v>
      </c>
      <c r="BS11" s="188">
        <f>ROUND(631*BR11+5*BR11,2)</f>
        <v>24.25</v>
      </c>
      <c r="BT11" s="189">
        <v>4</v>
      </c>
      <c r="BU11" s="189"/>
      <c r="BV11" s="189">
        <v>6</v>
      </c>
      <c r="BW11" s="116">
        <f t="shared" si="25"/>
        <v>0.0495886996260906</v>
      </c>
      <c r="BX11" s="188">
        <f t="shared" ref="BX11:BX17" si="30">ROUND(95.48*BW11+0.5*BW11,2)</f>
        <v>4.76</v>
      </c>
      <c r="BY11" s="195"/>
      <c r="BZ11" s="196"/>
      <c r="CA11" s="188"/>
      <c r="CB11" s="101">
        <v>10</v>
      </c>
      <c r="CC11" s="84">
        <v>0</v>
      </c>
      <c r="CD11" s="208">
        <f t="shared" si="26"/>
        <v>781.85</v>
      </c>
      <c r="CE11" s="45"/>
      <c r="CF11" s="44"/>
    </row>
    <row r="12" s="45" customFormat="1" ht="13" customHeight="1" spans="1:84">
      <c r="A12" s="94" t="s">
        <v>111</v>
      </c>
      <c r="B12" s="95"/>
      <c r="C12" s="96">
        <f t="shared" si="6"/>
        <v>0</v>
      </c>
      <c r="D12" s="97">
        <f t="shared" si="7"/>
        <v>0</v>
      </c>
      <c r="E12" s="98"/>
      <c r="F12" s="99"/>
      <c r="G12" s="100">
        <f t="shared" si="8"/>
        <v>0</v>
      </c>
      <c r="H12" s="101">
        <f t="shared" si="9"/>
        <v>0</v>
      </c>
      <c r="I12" s="115"/>
      <c r="J12" s="115"/>
      <c r="K12" s="115"/>
      <c r="L12" s="115"/>
      <c r="M12" s="116">
        <f t="shared" si="10"/>
        <v>0</v>
      </c>
      <c r="N12" s="101">
        <f t="shared" ref="N12:N17" si="31">ROUND(701.4*M12+2.17*M12,2)</f>
        <v>0</v>
      </c>
      <c r="O12" s="101"/>
      <c r="P12" s="101">
        <f t="shared" si="20"/>
        <v>0</v>
      </c>
      <c r="Q12" s="121">
        <v>7330</v>
      </c>
      <c r="R12" s="122">
        <v>5060</v>
      </c>
      <c r="S12" s="123">
        <f t="shared" si="27"/>
        <v>0.0448</v>
      </c>
      <c r="T12" s="123">
        <f t="shared" si="11"/>
        <v>0.0224</v>
      </c>
      <c r="U12" s="123">
        <f t="shared" ref="U12:U19" si="32">ROUND(T12/SUM(T$9:T$20,T$25:T$32,T$34:T$68),4)</f>
        <v>0.0277</v>
      </c>
      <c r="V12" s="124">
        <f t="shared" si="28"/>
        <v>36.82</v>
      </c>
      <c r="W12" s="115"/>
      <c r="X12" s="125"/>
      <c r="Y12" s="125"/>
      <c r="Z12" s="82"/>
      <c r="AA12" s="82"/>
      <c r="AB12" s="82"/>
      <c r="AC12" s="82"/>
      <c r="AD12" s="142">
        <f t="shared" si="12"/>
        <v>0</v>
      </c>
      <c r="AE12" s="84">
        <f t="shared" si="13"/>
        <v>0</v>
      </c>
      <c r="AF12" s="98"/>
      <c r="AG12" s="98"/>
      <c r="AH12" s="98"/>
      <c r="AI12" s="98"/>
      <c r="AJ12" s="98"/>
      <c r="AK12" s="98"/>
      <c r="AL12" s="98"/>
      <c r="AM12" s="98"/>
      <c r="AN12" s="147">
        <v>0</v>
      </c>
      <c r="AO12" s="97">
        <f>ROUND(188.45*AN12,2)</f>
        <v>0</v>
      </c>
      <c r="AP12" s="155"/>
      <c r="AQ12" s="156"/>
      <c r="AR12" s="96">
        <f t="shared" si="14"/>
        <v>0</v>
      </c>
      <c r="AS12" s="97">
        <f t="shared" si="15"/>
        <v>0</v>
      </c>
      <c r="AT12" s="157"/>
      <c r="AU12" s="157"/>
      <c r="AV12" s="157"/>
      <c r="AW12" s="157"/>
      <c r="AX12" s="158"/>
      <c r="AY12" s="96">
        <f t="shared" si="16"/>
        <v>0</v>
      </c>
      <c r="AZ12" s="97">
        <f t="shared" si="17"/>
        <v>0</v>
      </c>
      <c r="BA12" s="82"/>
      <c r="BB12" s="82"/>
      <c r="BC12" s="82">
        <v>1</v>
      </c>
      <c r="BD12" s="82"/>
      <c r="BE12" s="82"/>
      <c r="BF12" s="82"/>
      <c r="BG12" s="82"/>
      <c r="BH12" s="82">
        <f t="shared" si="22"/>
        <v>0.0076</v>
      </c>
      <c r="BI12" s="97">
        <f>ROUND(786*BH12,1)</f>
        <v>6</v>
      </c>
      <c r="BJ12" s="98"/>
      <c r="BK12" s="99"/>
      <c r="BL12" s="116"/>
      <c r="BM12" s="186"/>
      <c r="BN12" s="187"/>
      <c r="BO12" s="186"/>
      <c r="BP12" s="186">
        <f t="shared" si="23"/>
        <v>6</v>
      </c>
      <c r="BQ12" s="98"/>
      <c r="BR12" s="116">
        <f t="shared" si="24"/>
        <v>0</v>
      </c>
      <c r="BS12" s="188">
        <f t="shared" si="18"/>
        <v>0</v>
      </c>
      <c r="BT12" s="189">
        <v>3</v>
      </c>
      <c r="BU12" s="189">
        <v>1</v>
      </c>
      <c r="BV12" s="194"/>
      <c r="BW12" s="116">
        <f t="shared" si="25"/>
        <v>0.0333601070950469</v>
      </c>
      <c r="BX12" s="188">
        <f>ROUND(95.48*BW12,2)</f>
        <v>3.19</v>
      </c>
      <c r="BY12" s="195">
        <v>1</v>
      </c>
      <c r="BZ12" s="196">
        <f>BY12/BY8</f>
        <v>0.142857142857143</v>
      </c>
      <c r="CA12" s="188">
        <f t="shared" si="19"/>
        <v>3</v>
      </c>
      <c r="CB12" s="101"/>
      <c r="CC12" s="188">
        <v>0</v>
      </c>
      <c r="CD12" s="208">
        <f t="shared" si="26"/>
        <v>49.01</v>
      </c>
      <c r="CF12" s="209"/>
    </row>
    <row r="13" s="43" customFormat="1" ht="13" customHeight="1" spans="1:84">
      <c r="A13" s="94" t="s">
        <v>112</v>
      </c>
      <c r="B13" s="95">
        <v>434612</v>
      </c>
      <c r="C13" s="96">
        <f t="shared" si="6"/>
        <v>0.0259</v>
      </c>
      <c r="D13" s="97">
        <f t="shared" si="7"/>
        <v>5.31</v>
      </c>
      <c r="E13" s="98">
        <v>1044</v>
      </c>
      <c r="F13" s="99">
        <v>26920</v>
      </c>
      <c r="G13" s="100">
        <f t="shared" si="8"/>
        <v>0.035</v>
      </c>
      <c r="H13" s="101">
        <f>ROUND(2832*G13+40*G13,2)</f>
        <v>100.52</v>
      </c>
      <c r="I13" s="115">
        <v>16</v>
      </c>
      <c r="J13" s="115"/>
      <c r="K13" s="115"/>
      <c r="L13" s="115">
        <v>647</v>
      </c>
      <c r="M13" s="116">
        <f t="shared" si="10"/>
        <v>0.0628</v>
      </c>
      <c r="N13" s="101">
        <f t="shared" si="31"/>
        <v>44.18</v>
      </c>
      <c r="O13" s="101"/>
      <c r="P13" s="101">
        <f t="shared" si="20"/>
        <v>44.18</v>
      </c>
      <c r="Q13" s="121">
        <v>3990</v>
      </c>
      <c r="R13" s="122">
        <v>4860</v>
      </c>
      <c r="S13" s="123">
        <f t="shared" si="27"/>
        <v>0.0418</v>
      </c>
      <c r="T13" s="123">
        <f>S13</f>
        <v>0.0418</v>
      </c>
      <c r="U13" s="123">
        <f t="shared" si="32"/>
        <v>0.0517</v>
      </c>
      <c r="V13" s="124">
        <f t="shared" si="28"/>
        <v>68.73</v>
      </c>
      <c r="W13" s="115">
        <v>300</v>
      </c>
      <c r="X13" s="125"/>
      <c r="Y13" s="125"/>
      <c r="Z13" s="82"/>
      <c r="AA13" s="82">
        <v>4</v>
      </c>
      <c r="AB13" s="82">
        <v>1</v>
      </c>
      <c r="AC13" s="82">
        <v>1</v>
      </c>
      <c r="AD13" s="142">
        <f t="shared" si="12"/>
        <v>0.2811</v>
      </c>
      <c r="AE13" s="84">
        <f t="shared" si="13"/>
        <v>84.11</v>
      </c>
      <c r="AF13" s="98">
        <v>4</v>
      </c>
      <c r="AG13" s="98">
        <v>88</v>
      </c>
      <c r="AH13" s="98">
        <v>250</v>
      </c>
      <c r="AI13" s="98">
        <v>150</v>
      </c>
      <c r="AJ13" s="98">
        <v>1</v>
      </c>
      <c r="AK13" s="98">
        <v>2</v>
      </c>
      <c r="AL13" s="98">
        <v>0</v>
      </c>
      <c r="AM13" s="98">
        <v>1</v>
      </c>
      <c r="AN13" s="147">
        <v>0.0693</v>
      </c>
      <c r="AO13" s="97">
        <f>ROUND(188.45*AN13+1.95*AN13,2)</f>
        <v>13.19</v>
      </c>
      <c r="AP13" s="155">
        <v>12</v>
      </c>
      <c r="AQ13" s="156">
        <v>949</v>
      </c>
      <c r="AR13" s="96">
        <f t="shared" si="14"/>
        <v>0.0163322240696426</v>
      </c>
      <c r="AS13" s="97">
        <f t="shared" si="15"/>
        <v>6.1</v>
      </c>
      <c r="AT13" s="157">
        <v>10517</v>
      </c>
      <c r="AU13" s="157">
        <v>440</v>
      </c>
      <c r="AV13" s="157">
        <v>140</v>
      </c>
      <c r="AW13" s="157">
        <v>15</v>
      </c>
      <c r="AX13" s="157">
        <v>1</v>
      </c>
      <c r="AY13" s="96">
        <f t="shared" si="16"/>
        <v>0.0629530470544646</v>
      </c>
      <c r="AZ13" s="97">
        <f t="shared" si="17"/>
        <v>85.55</v>
      </c>
      <c r="BA13" s="82">
        <v>2</v>
      </c>
      <c r="BB13" s="82">
        <v>1</v>
      </c>
      <c r="BC13" s="82">
        <v>1</v>
      </c>
      <c r="BD13" s="82">
        <v>6</v>
      </c>
      <c r="BE13" s="82">
        <v>1</v>
      </c>
      <c r="BF13" s="82"/>
      <c r="BG13" s="82">
        <v>5</v>
      </c>
      <c r="BH13" s="82">
        <f>ROUND((BA13*13+1.5+BB13*1.6+BC13*6+BD13*1+BE13*6.2+BF13*15+1+BG13*3)/786,4)+0.0006</f>
        <v>0.0811</v>
      </c>
      <c r="BI13" s="97">
        <f>ROUND(786*BH13+6.6*BH13,2)</f>
        <v>64.28</v>
      </c>
      <c r="BJ13" s="98">
        <v>2000</v>
      </c>
      <c r="BK13" s="99"/>
      <c r="BL13" s="116">
        <f t="shared" ref="BL12:BL17" si="33">ROUND((BJ13*0.0035+BK13*0.003)/148,4)</f>
        <v>0.0473</v>
      </c>
      <c r="BM13" s="186">
        <f>ROUND(125*BL13,2)</f>
        <v>5.91</v>
      </c>
      <c r="BN13" s="187"/>
      <c r="BO13" s="186"/>
      <c r="BP13" s="186">
        <f t="shared" si="23"/>
        <v>70.19</v>
      </c>
      <c r="BQ13" s="98">
        <v>216</v>
      </c>
      <c r="BR13" s="116">
        <f t="shared" si="24"/>
        <v>0.0560311284046693</v>
      </c>
      <c r="BS13" s="188">
        <f>ROUND(631*BR13+5*BR13,2)</f>
        <v>35.64</v>
      </c>
      <c r="BT13" s="189">
        <v>5</v>
      </c>
      <c r="BU13" s="189"/>
      <c r="BV13" s="189">
        <v>6</v>
      </c>
      <c r="BW13" s="116">
        <f t="shared" si="25"/>
        <v>0.059227253842958</v>
      </c>
      <c r="BX13" s="188">
        <f t="shared" si="30"/>
        <v>5.68</v>
      </c>
      <c r="BY13" s="195"/>
      <c r="BZ13" s="196"/>
      <c r="CA13" s="188"/>
      <c r="CB13" s="101"/>
      <c r="CC13" s="84">
        <v>0</v>
      </c>
      <c r="CD13" s="208">
        <f t="shared" si="26"/>
        <v>519.2</v>
      </c>
      <c r="CE13" s="45"/>
      <c r="CF13" s="44"/>
    </row>
    <row r="14" s="43" customFormat="1" ht="13" customHeight="1" spans="1:84">
      <c r="A14" s="94" t="s">
        <v>113</v>
      </c>
      <c r="B14" s="95">
        <v>434258</v>
      </c>
      <c r="C14" s="96">
        <f t="shared" si="6"/>
        <v>0.0258</v>
      </c>
      <c r="D14" s="97">
        <f t="shared" si="7"/>
        <v>5.29</v>
      </c>
      <c r="E14" s="98">
        <v>757</v>
      </c>
      <c r="F14" s="99">
        <v>17178</v>
      </c>
      <c r="G14" s="100">
        <f t="shared" si="8"/>
        <v>0.0239</v>
      </c>
      <c r="H14" s="101">
        <f>ROUND(2832*G14+40*G14,2)</f>
        <v>68.64</v>
      </c>
      <c r="I14" s="115">
        <v>12</v>
      </c>
      <c r="J14" s="115"/>
      <c r="K14" s="115"/>
      <c r="L14" s="115">
        <v>370</v>
      </c>
      <c r="M14" s="116">
        <f t="shared" si="10"/>
        <v>0.0453</v>
      </c>
      <c r="N14" s="101">
        <f t="shared" si="31"/>
        <v>31.87</v>
      </c>
      <c r="O14" s="101">
        <v>100</v>
      </c>
      <c r="P14" s="101">
        <f t="shared" si="20"/>
        <v>131.87</v>
      </c>
      <c r="Q14" s="121">
        <v>3399</v>
      </c>
      <c r="R14" s="122">
        <v>5430</v>
      </c>
      <c r="S14" s="123">
        <f t="shared" si="27"/>
        <v>0.0463</v>
      </c>
      <c r="T14" s="123">
        <f>S14</f>
        <v>0.0463</v>
      </c>
      <c r="U14" s="123">
        <f t="shared" si="32"/>
        <v>0.0573</v>
      </c>
      <c r="V14" s="124">
        <f t="shared" si="28"/>
        <v>76.18</v>
      </c>
      <c r="W14" s="115">
        <v>180</v>
      </c>
      <c r="X14" s="125"/>
      <c r="Y14" s="125"/>
      <c r="Z14" s="82"/>
      <c r="AA14" s="82"/>
      <c r="AB14" s="82"/>
      <c r="AC14" s="82"/>
      <c r="AD14" s="142">
        <f t="shared" si="12"/>
        <v>0.0074</v>
      </c>
      <c r="AE14" s="84">
        <f t="shared" si="13"/>
        <v>2.21</v>
      </c>
      <c r="AF14" s="98">
        <v>2</v>
      </c>
      <c r="AG14" s="98">
        <v>80</v>
      </c>
      <c r="AH14" s="98">
        <v>0</v>
      </c>
      <c r="AI14" s="98">
        <v>100</v>
      </c>
      <c r="AJ14" s="98">
        <v>1</v>
      </c>
      <c r="AK14" s="98">
        <v>1</v>
      </c>
      <c r="AL14" s="98">
        <v>0</v>
      </c>
      <c r="AM14" s="98">
        <v>0</v>
      </c>
      <c r="AN14" s="147">
        <v>0.0188</v>
      </c>
      <c r="AO14" s="97">
        <f>ROUND(188.45*AN14+1.95*AN14,2)</f>
        <v>3.58</v>
      </c>
      <c r="AP14" s="155">
        <v>1</v>
      </c>
      <c r="AQ14" s="156">
        <v>667</v>
      </c>
      <c r="AR14" s="96">
        <f t="shared" si="14"/>
        <v>0.0027922285002057</v>
      </c>
      <c r="AS14" s="97">
        <f t="shared" si="15"/>
        <v>1.04</v>
      </c>
      <c r="AT14" s="157">
        <v>8344</v>
      </c>
      <c r="AU14" s="157">
        <v>320</v>
      </c>
      <c r="AV14" s="157">
        <v>74</v>
      </c>
      <c r="AW14" s="157">
        <v>15</v>
      </c>
      <c r="AX14" s="157">
        <v>1</v>
      </c>
      <c r="AY14" s="96">
        <f t="shared" si="16"/>
        <v>0.0515184764727677</v>
      </c>
      <c r="AZ14" s="97">
        <f t="shared" si="17"/>
        <v>70.01</v>
      </c>
      <c r="BA14" s="82"/>
      <c r="BB14" s="82">
        <v>1</v>
      </c>
      <c r="BC14" s="82"/>
      <c r="BD14" s="82">
        <v>6</v>
      </c>
      <c r="BE14" s="82"/>
      <c r="BF14" s="82"/>
      <c r="BG14" s="82">
        <v>2</v>
      </c>
      <c r="BH14" s="142">
        <f t="shared" si="29"/>
        <v>0.0205</v>
      </c>
      <c r="BI14" s="97">
        <f>ROUND(786*BH14+6.6*BH14,2)</f>
        <v>16.25</v>
      </c>
      <c r="BJ14" s="98">
        <v>2000</v>
      </c>
      <c r="BK14" s="99">
        <v>2000</v>
      </c>
      <c r="BL14" s="116">
        <f t="shared" si="33"/>
        <v>0.0878</v>
      </c>
      <c r="BM14" s="186">
        <f>ROUND(125*BL14,2)</f>
        <v>10.98</v>
      </c>
      <c r="BN14" s="187"/>
      <c r="BO14" s="186"/>
      <c r="BP14" s="186">
        <f t="shared" si="23"/>
        <v>27.23</v>
      </c>
      <c r="BQ14" s="98">
        <v>149</v>
      </c>
      <c r="BR14" s="116">
        <f t="shared" si="24"/>
        <v>0.038651102464332</v>
      </c>
      <c r="BS14" s="188">
        <f>ROUND(631*BR14+5*BR14,2)</f>
        <v>24.58</v>
      </c>
      <c r="BT14" s="189">
        <v>2</v>
      </c>
      <c r="BU14" s="189"/>
      <c r="BV14" s="189">
        <v>3</v>
      </c>
      <c r="BW14" s="116">
        <f t="shared" si="25"/>
        <v>0.0247943498130453</v>
      </c>
      <c r="BX14" s="188">
        <f t="shared" si="30"/>
        <v>2.38</v>
      </c>
      <c r="BY14" s="195"/>
      <c r="BZ14" s="196"/>
      <c r="CA14" s="188"/>
      <c r="CB14" s="101"/>
      <c r="CC14" s="84">
        <v>0</v>
      </c>
      <c r="CD14" s="208">
        <f t="shared" si="26"/>
        <v>413.01</v>
      </c>
      <c r="CE14" s="45"/>
      <c r="CF14" s="44"/>
    </row>
    <row r="15" s="43" customFormat="1" ht="13" customHeight="1" spans="1:84">
      <c r="A15" s="94" t="s">
        <v>114</v>
      </c>
      <c r="B15" s="95">
        <v>307217</v>
      </c>
      <c r="C15" s="96">
        <f t="shared" si="6"/>
        <v>0.0183</v>
      </c>
      <c r="D15" s="97">
        <f t="shared" si="7"/>
        <v>3.75</v>
      </c>
      <c r="E15" s="98">
        <v>228</v>
      </c>
      <c r="F15" s="99">
        <v>22244</v>
      </c>
      <c r="G15" s="100">
        <f t="shared" si="8"/>
        <v>0.0179</v>
      </c>
      <c r="H15" s="101">
        <f>ROUND(2832*G15+40*G15,2)</f>
        <v>51.41</v>
      </c>
      <c r="I15" s="115">
        <v>12</v>
      </c>
      <c r="J15" s="115"/>
      <c r="K15" s="115"/>
      <c r="L15" s="115">
        <v>511</v>
      </c>
      <c r="M15" s="116">
        <f t="shared" si="10"/>
        <v>0.0475</v>
      </c>
      <c r="N15" s="101">
        <f t="shared" si="31"/>
        <v>33.42</v>
      </c>
      <c r="O15" s="101"/>
      <c r="P15" s="101">
        <f t="shared" si="20"/>
        <v>33.42</v>
      </c>
      <c r="Q15" s="121">
        <v>3068</v>
      </c>
      <c r="R15" s="122">
        <v>3110</v>
      </c>
      <c r="S15" s="123">
        <f t="shared" si="27"/>
        <v>0.027</v>
      </c>
      <c r="T15" s="123">
        <f>S15</f>
        <v>0.027</v>
      </c>
      <c r="U15" s="123">
        <f t="shared" si="32"/>
        <v>0.0334</v>
      </c>
      <c r="V15" s="124">
        <f t="shared" si="28"/>
        <v>44.4</v>
      </c>
      <c r="W15" s="115">
        <v>240</v>
      </c>
      <c r="X15" s="125">
        <v>1</v>
      </c>
      <c r="Y15" s="125"/>
      <c r="Z15" s="82">
        <v>2</v>
      </c>
      <c r="AA15" s="82"/>
      <c r="AB15" s="82"/>
      <c r="AC15" s="82"/>
      <c r="AD15" s="142">
        <f t="shared" si="12"/>
        <v>0.0594</v>
      </c>
      <c r="AE15" s="84">
        <f t="shared" si="13"/>
        <v>17.77</v>
      </c>
      <c r="AF15" s="98">
        <v>4</v>
      </c>
      <c r="AG15" s="98">
        <v>75</v>
      </c>
      <c r="AH15" s="98">
        <v>0</v>
      </c>
      <c r="AI15" s="98">
        <v>100</v>
      </c>
      <c r="AJ15" s="98">
        <v>1</v>
      </c>
      <c r="AK15" s="98">
        <v>2</v>
      </c>
      <c r="AL15" s="98">
        <v>0</v>
      </c>
      <c r="AM15" s="98">
        <v>0</v>
      </c>
      <c r="AN15" s="147">
        <v>0.0267</v>
      </c>
      <c r="AO15" s="97">
        <f>ROUND(188.45*AN15+1.95*AN15,2)</f>
        <v>5.08</v>
      </c>
      <c r="AP15" s="155">
        <v>11</v>
      </c>
      <c r="AQ15" s="156">
        <v>716</v>
      </c>
      <c r="AR15" s="96">
        <f t="shared" si="14"/>
        <v>0.0145965144614066</v>
      </c>
      <c r="AS15" s="97">
        <f t="shared" si="15"/>
        <v>5.46</v>
      </c>
      <c r="AT15" s="157">
        <v>7982</v>
      </c>
      <c r="AU15" s="157">
        <v>312</v>
      </c>
      <c r="AV15" s="157">
        <v>72</v>
      </c>
      <c r="AW15" s="157">
        <v>15</v>
      </c>
      <c r="AX15" s="157">
        <v>1</v>
      </c>
      <c r="AY15" s="96">
        <f t="shared" si="16"/>
        <v>0.0509021874768433</v>
      </c>
      <c r="AZ15" s="97">
        <f t="shared" si="17"/>
        <v>69.18</v>
      </c>
      <c r="BA15" s="82">
        <v>2</v>
      </c>
      <c r="BB15" s="82">
        <v>1</v>
      </c>
      <c r="BC15" s="82"/>
      <c r="BD15" s="82">
        <v>6</v>
      </c>
      <c r="BE15" s="82"/>
      <c r="BF15" s="82"/>
      <c r="BG15" s="82">
        <v>2</v>
      </c>
      <c r="BH15" s="82">
        <f t="shared" si="29"/>
        <v>0.0536</v>
      </c>
      <c r="BI15" s="97">
        <f>ROUND(786*BH15+6.6*BH15,2)</f>
        <v>42.48</v>
      </c>
      <c r="BJ15" s="98">
        <v>3000</v>
      </c>
      <c r="BK15" s="99">
        <v>2000</v>
      </c>
      <c r="BL15" s="116">
        <f t="shared" si="33"/>
        <v>0.1115</v>
      </c>
      <c r="BM15" s="186">
        <f>ROUND(125*BL15,2)</f>
        <v>13.94</v>
      </c>
      <c r="BN15" s="187"/>
      <c r="BO15" s="186"/>
      <c r="BP15" s="186">
        <f t="shared" si="23"/>
        <v>56.42</v>
      </c>
      <c r="BQ15" s="98">
        <v>162</v>
      </c>
      <c r="BR15" s="116">
        <f t="shared" si="24"/>
        <v>0.0420233463035019</v>
      </c>
      <c r="BS15" s="188">
        <f>ROUND(631*BR15+5*BR15,2)</f>
        <v>26.73</v>
      </c>
      <c r="BT15" s="189">
        <v>2</v>
      </c>
      <c r="BU15" s="189"/>
      <c r="BV15" s="189">
        <v>4</v>
      </c>
      <c r="BW15" s="116">
        <f t="shared" si="25"/>
        <v>0.0266334302728154</v>
      </c>
      <c r="BX15" s="188">
        <f t="shared" si="30"/>
        <v>2.56</v>
      </c>
      <c r="BY15" s="195"/>
      <c r="BZ15" s="196"/>
      <c r="CA15" s="188"/>
      <c r="CB15" s="101"/>
      <c r="CC15" s="84">
        <v>0</v>
      </c>
      <c r="CD15" s="208">
        <f t="shared" si="26"/>
        <v>316.18</v>
      </c>
      <c r="CE15" s="45"/>
      <c r="CF15" s="44"/>
    </row>
    <row r="16" s="43" customFormat="1" ht="13" customHeight="1" spans="1:84">
      <c r="A16" s="94" t="s">
        <v>115</v>
      </c>
      <c r="B16" s="95">
        <v>1395114</v>
      </c>
      <c r="C16" s="96">
        <f t="shared" si="6"/>
        <v>0.083</v>
      </c>
      <c r="D16" s="97">
        <f t="shared" si="7"/>
        <v>17.02</v>
      </c>
      <c r="E16" s="98">
        <v>1813</v>
      </c>
      <c r="F16" s="99">
        <v>32206</v>
      </c>
      <c r="G16" s="100">
        <f t="shared" si="8"/>
        <v>0.0517</v>
      </c>
      <c r="H16" s="101">
        <f>ROUND(2832*G16+40*G16,2)</f>
        <v>148.48</v>
      </c>
      <c r="I16" s="115">
        <v>16</v>
      </c>
      <c r="J16" s="115"/>
      <c r="K16" s="115"/>
      <c r="L16" s="115">
        <v>793</v>
      </c>
      <c r="M16" s="116">
        <f t="shared" si="10"/>
        <v>0.0652</v>
      </c>
      <c r="N16" s="101">
        <f t="shared" si="31"/>
        <v>45.87</v>
      </c>
      <c r="O16" s="101">
        <v>100</v>
      </c>
      <c r="P16" s="101">
        <f t="shared" si="20"/>
        <v>145.87</v>
      </c>
      <c r="Q16" s="121">
        <v>3733</v>
      </c>
      <c r="R16" s="122">
        <v>5060</v>
      </c>
      <c r="S16" s="123">
        <f t="shared" si="27"/>
        <v>0.0434</v>
      </c>
      <c r="T16" s="123">
        <f>S16</f>
        <v>0.0434</v>
      </c>
      <c r="U16" s="123">
        <f t="shared" si="32"/>
        <v>0.0537</v>
      </c>
      <c r="V16" s="124">
        <f t="shared" si="28"/>
        <v>71.39</v>
      </c>
      <c r="W16" s="115">
        <v>150</v>
      </c>
      <c r="X16" s="125"/>
      <c r="Y16" s="125"/>
      <c r="Z16" s="82"/>
      <c r="AA16" s="82">
        <v>1</v>
      </c>
      <c r="AB16" s="82"/>
      <c r="AC16" s="82"/>
      <c r="AD16" s="142">
        <f t="shared" si="12"/>
        <v>0.0144</v>
      </c>
      <c r="AE16" s="84">
        <f t="shared" si="13"/>
        <v>4.31</v>
      </c>
      <c r="AF16" s="98">
        <v>0</v>
      </c>
      <c r="AG16" s="98">
        <v>110</v>
      </c>
      <c r="AH16" s="98">
        <v>0</v>
      </c>
      <c r="AI16" s="98">
        <v>100</v>
      </c>
      <c r="AJ16" s="98">
        <v>1</v>
      </c>
      <c r="AK16" s="98">
        <v>2</v>
      </c>
      <c r="AL16" s="98">
        <v>0</v>
      </c>
      <c r="AM16" s="98" t="s">
        <v>292</v>
      </c>
      <c r="AN16" s="147">
        <v>0</v>
      </c>
      <c r="AO16" s="97">
        <f>ROUND(188.45*AN16+1.95*AN16,2)</f>
        <v>0</v>
      </c>
      <c r="AP16" s="155">
        <v>29</v>
      </c>
      <c r="AQ16" s="156">
        <v>1854</v>
      </c>
      <c r="AR16" s="96">
        <f t="shared" si="14"/>
        <v>0.038399836409978</v>
      </c>
      <c r="AS16" s="97">
        <f t="shared" si="15"/>
        <v>14.35</v>
      </c>
      <c r="AT16" s="157">
        <v>19648</v>
      </c>
      <c r="AU16" s="157">
        <v>488</v>
      </c>
      <c r="AV16" s="157">
        <v>158</v>
      </c>
      <c r="AW16" s="157">
        <v>15</v>
      </c>
      <c r="AX16" s="157">
        <v>1</v>
      </c>
      <c r="AY16" s="96">
        <f t="shared" si="16"/>
        <v>0.0718020955909596</v>
      </c>
      <c r="AZ16" s="97">
        <f t="shared" si="17"/>
        <v>97.58</v>
      </c>
      <c r="BA16" s="82">
        <v>1</v>
      </c>
      <c r="BB16" s="82"/>
      <c r="BC16" s="82"/>
      <c r="BD16" s="82">
        <v>6</v>
      </c>
      <c r="BE16" s="82"/>
      <c r="BF16" s="82">
        <v>1</v>
      </c>
      <c r="BG16" s="82">
        <v>3</v>
      </c>
      <c r="BH16" s="82">
        <f t="shared" si="29"/>
        <v>0.0579</v>
      </c>
      <c r="BI16" s="97">
        <f>ROUND(786*BH16+6.6*BH16,2)</f>
        <v>45.89</v>
      </c>
      <c r="BJ16" s="98">
        <v>500</v>
      </c>
      <c r="BK16" s="99">
        <v>1000</v>
      </c>
      <c r="BL16" s="116">
        <f t="shared" si="33"/>
        <v>0.0321</v>
      </c>
      <c r="BM16" s="186">
        <f>ROUND(125*BL16,2)-0.01</f>
        <v>4</v>
      </c>
      <c r="BN16" s="187"/>
      <c r="BO16" s="186"/>
      <c r="BP16" s="186">
        <f t="shared" si="23"/>
        <v>49.89</v>
      </c>
      <c r="BQ16" s="98">
        <v>168</v>
      </c>
      <c r="BR16" s="116">
        <f t="shared" si="24"/>
        <v>0.043579766536965</v>
      </c>
      <c r="BS16" s="188">
        <f>ROUND(631*BR16+5*BR16,2)</f>
        <v>27.72</v>
      </c>
      <c r="BT16" s="189">
        <v>3</v>
      </c>
      <c r="BU16" s="189"/>
      <c r="BV16" s="189">
        <v>4</v>
      </c>
      <c r="BW16" s="116">
        <f t="shared" si="25"/>
        <v>0.0362719844896829</v>
      </c>
      <c r="BX16" s="188">
        <f t="shared" si="30"/>
        <v>3.48</v>
      </c>
      <c r="BY16" s="195"/>
      <c r="BZ16" s="196"/>
      <c r="CA16" s="188"/>
      <c r="CB16" s="101"/>
      <c r="CC16" s="84">
        <v>0</v>
      </c>
      <c r="CD16" s="208">
        <f t="shared" si="26"/>
        <v>580.09</v>
      </c>
      <c r="CE16" s="45"/>
      <c r="CF16" s="44"/>
    </row>
    <row r="17" s="43" customFormat="1" ht="13" customHeight="1" spans="1:84">
      <c r="A17" s="94" t="s">
        <v>116</v>
      </c>
      <c r="B17" s="95">
        <v>124069</v>
      </c>
      <c r="C17" s="96">
        <f t="shared" si="6"/>
        <v>0.0074</v>
      </c>
      <c r="D17" s="97">
        <f t="shared" si="7"/>
        <v>1.52</v>
      </c>
      <c r="E17" s="98">
        <v>208</v>
      </c>
      <c r="F17" s="99">
        <v>6658</v>
      </c>
      <c r="G17" s="100">
        <f t="shared" si="8"/>
        <v>0.0078</v>
      </c>
      <c r="H17" s="101">
        <f>ROUND(2832*G17+40*G17,2)</f>
        <v>22.4</v>
      </c>
      <c r="I17" s="115">
        <v>0</v>
      </c>
      <c r="J17" s="115"/>
      <c r="K17" s="115"/>
      <c r="L17" s="115">
        <v>205</v>
      </c>
      <c r="M17" s="116">
        <f t="shared" si="10"/>
        <v>0.0033</v>
      </c>
      <c r="N17" s="101">
        <f t="shared" si="31"/>
        <v>2.32</v>
      </c>
      <c r="O17" s="101"/>
      <c r="P17" s="101">
        <f t="shared" si="20"/>
        <v>2.32</v>
      </c>
      <c r="Q17" s="121">
        <v>4468</v>
      </c>
      <c r="R17" s="122">
        <v>7560</v>
      </c>
      <c r="S17" s="123">
        <f t="shared" si="27"/>
        <v>0.0644</v>
      </c>
      <c r="T17" s="123">
        <f>S17</f>
        <v>0.0644</v>
      </c>
      <c r="U17" s="123">
        <f t="shared" si="32"/>
        <v>0.0797</v>
      </c>
      <c r="V17" s="124">
        <f t="shared" si="28"/>
        <v>105.95</v>
      </c>
      <c r="W17" s="115">
        <v>120</v>
      </c>
      <c r="X17" s="125"/>
      <c r="Y17" s="125"/>
      <c r="Z17" s="82"/>
      <c r="AA17" s="82"/>
      <c r="AB17" s="82"/>
      <c r="AC17" s="82"/>
      <c r="AD17" s="142">
        <f t="shared" si="12"/>
        <v>0.005</v>
      </c>
      <c r="AE17" s="84">
        <f t="shared" si="13"/>
        <v>1.5</v>
      </c>
      <c r="AF17" s="98">
        <v>1</v>
      </c>
      <c r="AG17" s="98">
        <v>30</v>
      </c>
      <c r="AH17" s="98">
        <v>0</v>
      </c>
      <c r="AI17" s="98">
        <v>0</v>
      </c>
      <c r="AJ17" s="98">
        <v>1</v>
      </c>
      <c r="AK17" s="98">
        <v>1</v>
      </c>
      <c r="AL17" s="98">
        <v>0</v>
      </c>
      <c r="AM17" s="98">
        <v>0</v>
      </c>
      <c r="AN17" s="147">
        <v>0.0071</v>
      </c>
      <c r="AO17" s="97">
        <f>ROUND(188.45*AN17+1.95*AN17,2)</f>
        <v>1.35</v>
      </c>
      <c r="AP17" s="155"/>
      <c r="AQ17" s="156">
        <v>250</v>
      </c>
      <c r="AR17" s="96">
        <f t="shared" si="14"/>
        <v>0.000608593831779796</v>
      </c>
      <c r="AS17" s="97">
        <f t="shared" si="15"/>
        <v>0.23</v>
      </c>
      <c r="AT17" s="157">
        <v>2864</v>
      </c>
      <c r="AU17" s="157">
        <v>256</v>
      </c>
      <c r="AV17" s="157">
        <v>42</v>
      </c>
      <c r="AW17" s="157"/>
      <c r="AX17" s="157">
        <v>1</v>
      </c>
      <c r="AY17" s="96">
        <f t="shared" si="16"/>
        <v>0.0263696954427566</v>
      </c>
      <c r="AZ17" s="97">
        <f t="shared" si="17"/>
        <v>35.84</v>
      </c>
      <c r="BA17" s="82">
        <v>1</v>
      </c>
      <c r="BB17" s="82"/>
      <c r="BC17" s="82"/>
      <c r="BD17" s="82">
        <v>6</v>
      </c>
      <c r="BE17" s="82"/>
      <c r="BF17" s="82"/>
      <c r="BG17" s="82">
        <v>1</v>
      </c>
      <c r="BH17" s="82">
        <f t="shared" si="29"/>
        <v>0.0312</v>
      </c>
      <c r="BI17" s="97">
        <f>ROUND(786*BH17+6.6*BH17,2)</f>
        <v>24.73</v>
      </c>
      <c r="BJ17" s="98"/>
      <c r="BK17" s="99"/>
      <c r="BL17" s="116"/>
      <c r="BM17" s="186"/>
      <c r="BN17" s="187"/>
      <c r="BO17" s="186"/>
      <c r="BP17" s="186">
        <f t="shared" si="23"/>
        <v>24.73</v>
      </c>
      <c r="BQ17" s="98">
        <v>29</v>
      </c>
      <c r="BR17" s="116">
        <f t="shared" si="24"/>
        <v>0.00752269779507134</v>
      </c>
      <c r="BS17" s="188">
        <f>ROUND(631*BR17+5*BR17,2)</f>
        <v>4.78</v>
      </c>
      <c r="BT17" s="189">
        <v>0</v>
      </c>
      <c r="BU17" s="189"/>
      <c r="BV17" s="189">
        <v>1</v>
      </c>
      <c r="BW17" s="116">
        <f t="shared" si="25"/>
        <v>0.00183908045977011</v>
      </c>
      <c r="BX17" s="188">
        <f t="shared" si="30"/>
        <v>0.18</v>
      </c>
      <c r="BY17" s="195"/>
      <c r="BZ17" s="196"/>
      <c r="CA17" s="188"/>
      <c r="CB17" s="101">
        <v>10</v>
      </c>
      <c r="CC17" s="84">
        <v>0</v>
      </c>
      <c r="CD17" s="208">
        <f t="shared" si="26"/>
        <v>210.8</v>
      </c>
      <c r="CE17" s="45"/>
      <c r="CF17" s="44"/>
    </row>
    <row r="18" s="45" customFormat="1" ht="13" customHeight="1" spans="1:84">
      <c r="A18" s="94" t="s">
        <v>117</v>
      </c>
      <c r="B18" s="95"/>
      <c r="C18" s="96">
        <f t="shared" si="6"/>
        <v>0</v>
      </c>
      <c r="D18" s="97">
        <f t="shared" si="7"/>
        <v>0</v>
      </c>
      <c r="E18" s="98"/>
      <c r="F18" s="99"/>
      <c r="G18" s="100">
        <f t="shared" si="8"/>
        <v>0</v>
      </c>
      <c r="H18" s="101">
        <f t="shared" si="9"/>
        <v>0</v>
      </c>
      <c r="I18" s="115"/>
      <c r="J18" s="115"/>
      <c r="K18" s="115"/>
      <c r="L18" s="115"/>
      <c r="M18" s="116">
        <f t="shared" si="10"/>
        <v>0</v>
      </c>
      <c r="N18" s="101">
        <f>ROUND(701.4*M18,2)</f>
        <v>0</v>
      </c>
      <c r="O18" s="101"/>
      <c r="P18" s="101">
        <f t="shared" si="20"/>
        <v>0</v>
      </c>
      <c r="Q18" s="121">
        <v>5456</v>
      </c>
      <c r="R18" s="122">
        <v>6955</v>
      </c>
      <c r="S18" s="123">
        <f t="shared" si="27"/>
        <v>0.0598</v>
      </c>
      <c r="T18" s="123">
        <f>0.5*S18</f>
        <v>0.0299</v>
      </c>
      <c r="U18" s="123">
        <f t="shared" si="32"/>
        <v>0.037</v>
      </c>
      <c r="V18" s="124">
        <f t="shared" si="28"/>
        <v>49.19</v>
      </c>
      <c r="W18" s="115"/>
      <c r="X18" s="125"/>
      <c r="Y18" s="125"/>
      <c r="Z18" s="82"/>
      <c r="AA18" s="82"/>
      <c r="AB18" s="82"/>
      <c r="AC18" s="82"/>
      <c r="AD18" s="142">
        <f t="shared" si="12"/>
        <v>0</v>
      </c>
      <c r="AE18" s="84">
        <f t="shared" si="13"/>
        <v>0</v>
      </c>
      <c r="AF18" s="98"/>
      <c r="AG18" s="98"/>
      <c r="AH18" s="98"/>
      <c r="AI18" s="98"/>
      <c r="AJ18" s="98"/>
      <c r="AK18" s="98"/>
      <c r="AL18" s="98"/>
      <c r="AM18" s="98"/>
      <c r="AN18" s="147">
        <v>0</v>
      </c>
      <c r="AO18" s="97">
        <f>ROUND(188.45*AN18,2)</f>
        <v>0</v>
      </c>
      <c r="AP18" s="155"/>
      <c r="AQ18" s="156"/>
      <c r="AR18" s="96">
        <f t="shared" si="14"/>
        <v>0</v>
      </c>
      <c r="AS18" s="97">
        <f t="shared" si="15"/>
        <v>0</v>
      </c>
      <c r="AT18" s="157"/>
      <c r="AU18" s="157"/>
      <c r="AV18" s="157"/>
      <c r="AW18" s="157"/>
      <c r="AX18" s="158"/>
      <c r="AY18" s="96">
        <f t="shared" si="16"/>
        <v>0</v>
      </c>
      <c r="AZ18" s="97">
        <f t="shared" si="17"/>
        <v>0</v>
      </c>
      <c r="BA18" s="82"/>
      <c r="BB18" s="82"/>
      <c r="BC18" s="82"/>
      <c r="BD18" s="82"/>
      <c r="BE18" s="82"/>
      <c r="BF18" s="82"/>
      <c r="BG18" s="82"/>
      <c r="BH18" s="131">
        <f t="shared" ref="BH18:BH24" si="34">ROUND((BA18*13+BB18*1.6+BC18*6+BD18*1+BE18*6.2+BF18*15+BG18*3)/786,4)</f>
        <v>0</v>
      </c>
      <c r="BI18" s="97">
        <f>ROUND(786*BH18,2)</f>
        <v>0</v>
      </c>
      <c r="BJ18" s="98"/>
      <c r="BK18" s="99"/>
      <c r="BL18" s="116"/>
      <c r="BM18" s="186"/>
      <c r="BN18" s="187">
        <v>2000</v>
      </c>
      <c r="BO18" s="186">
        <v>10</v>
      </c>
      <c r="BP18" s="186">
        <f t="shared" si="23"/>
        <v>10</v>
      </c>
      <c r="BQ18" s="98"/>
      <c r="BR18" s="116">
        <f t="shared" si="24"/>
        <v>0</v>
      </c>
      <c r="BS18" s="188">
        <f t="shared" si="18"/>
        <v>0</v>
      </c>
      <c r="BT18" s="189">
        <v>3</v>
      </c>
      <c r="BU18" s="189">
        <v>1</v>
      </c>
      <c r="BV18" s="189"/>
      <c r="BW18" s="116">
        <f t="shared" si="25"/>
        <v>0.0333601070950469</v>
      </c>
      <c r="BX18" s="188">
        <f t="shared" ref="BX18:BX21" si="35">ROUND(95.48*BW18,2)</f>
        <v>3.19</v>
      </c>
      <c r="BY18" s="195">
        <v>1</v>
      </c>
      <c r="BZ18" s="196">
        <f>BY18/BY8</f>
        <v>0.142857142857143</v>
      </c>
      <c r="CA18" s="188">
        <f>+BY18*BZ18*21</f>
        <v>3</v>
      </c>
      <c r="CB18" s="101"/>
      <c r="CC18" s="84">
        <v>3</v>
      </c>
      <c r="CD18" s="208">
        <f t="shared" si="26"/>
        <v>68.38</v>
      </c>
      <c r="CF18" s="209"/>
    </row>
    <row r="19" s="45" customFormat="1" ht="13" customHeight="1" spans="1:84">
      <c r="A19" s="94" t="s">
        <v>118</v>
      </c>
      <c r="B19" s="95"/>
      <c r="C19" s="96">
        <f t="shared" si="6"/>
        <v>0</v>
      </c>
      <c r="D19" s="97">
        <f t="shared" si="7"/>
        <v>0</v>
      </c>
      <c r="E19" s="98"/>
      <c r="F19" s="99"/>
      <c r="G19" s="100">
        <f t="shared" si="8"/>
        <v>0</v>
      </c>
      <c r="H19" s="101">
        <f t="shared" si="9"/>
        <v>0</v>
      </c>
      <c r="I19" s="115"/>
      <c r="J19" s="115"/>
      <c r="K19" s="115"/>
      <c r="L19" s="115"/>
      <c r="M19" s="116">
        <f t="shared" si="10"/>
        <v>0</v>
      </c>
      <c r="N19" s="101">
        <f>ROUND(701.4*M19,2)</f>
        <v>0</v>
      </c>
      <c r="O19" s="101"/>
      <c r="P19" s="101">
        <f t="shared" si="20"/>
        <v>0</v>
      </c>
      <c r="Q19" s="121">
        <v>3614</v>
      </c>
      <c r="R19" s="122">
        <v>5435</v>
      </c>
      <c r="S19" s="123">
        <f t="shared" si="27"/>
        <v>0.0464</v>
      </c>
      <c r="T19" s="123">
        <f>0.5*S19</f>
        <v>0.0232</v>
      </c>
      <c r="U19" s="123">
        <f t="shared" si="32"/>
        <v>0.0287</v>
      </c>
      <c r="V19" s="124">
        <f t="shared" si="28"/>
        <v>38.15</v>
      </c>
      <c r="W19" s="115"/>
      <c r="X19" s="125"/>
      <c r="Y19" s="125"/>
      <c r="Z19" s="82"/>
      <c r="AA19" s="82"/>
      <c r="AB19" s="82"/>
      <c r="AC19" s="82"/>
      <c r="AD19" s="142">
        <f t="shared" si="12"/>
        <v>0</v>
      </c>
      <c r="AE19" s="84">
        <f t="shared" si="13"/>
        <v>0</v>
      </c>
      <c r="AF19" s="98"/>
      <c r="AG19" s="98"/>
      <c r="AH19" s="98"/>
      <c r="AI19" s="98"/>
      <c r="AJ19" s="98"/>
      <c r="AK19" s="98"/>
      <c r="AL19" s="98"/>
      <c r="AM19" s="98"/>
      <c r="AN19" s="147">
        <v>0</v>
      </c>
      <c r="AO19" s="97">
        <f>ROUND(188.45*AN19,2)</f>
        <v>0</v>
      </c>
      <c r="AP19" s="155"/>
      <c r="AQ19" s="156"/>
      <c r="AR19" s="96">
        <f t="shared" si="14"/>
        <v>0</v>
      </c>
      <c r="AS19" s="97">
        <f t="shared" si="15"/>
        <v>0</v>
      </c>
      <c r="AT19" s="157"/>
      <c r="AU19" s="157"/>
      <c r="AV19" s="157"/>
      <c r="AW19" s="157"/>
      <c r="AX19" s="158"/>
      <c r="AY19" s="96">
        <f t="shared" si="16"/>
        <v>0</v>
      </c>
      <c r="AZ19" s="97">
        <f t="shared" si="17"/>
        <v>0</v>
      </c>
      <c r="BA19" s="82"/>
      <c r="BB19" s="82"/>
      <c r="BC19" s="82"/>
      <c r="BD19" s="82"/>
      <c r="BE19" s="82">
        <v>1</v>
      </c>
      <c r="BF19" s="82"/>
      <c r="BG19" s="82"/>
      <c r="BH19" s="131">
        <f t="shared" si="34"/>
        <v>0.0079</v>
      </c>
      <c r="BI19" s="97">
        <f>ROUND(786*BH19,1)</f>
        <v>6.2</v>
      </c>
      <c r="BJ19" s="98"/>
      <c r="BK19" s="99"/>
      <c r="BL19" s="116"/>
      <c r="BM19" s="186"/>
      <c r="BN19" s="187"/>
      <c r="BO19" s="186"/>
      <c r="BP19" s="186">
        <f t="shared" ref="BP19:BP24" si="36">BI19+BM19+BO19</f>
        <v>6.2</v>
      </c>
      <c r="BQ19" s="98"/>
      <c r="BR19" s="116">
        <f t="shared" si="24"/>
        <v>0</v>
      </c>
      <c r="BS19" s="188">
        <f t="shared" si="18"/>
        <v>0</v>
      </c>
      <c r="BT19" s="189">
        <v>3</v>
      </c>
      <c r="BU19" s="189"/>
      <c r="BV19" s="189"/>
      <c r="BW19" s="116">
        <f t="shared" si="25"/>
        <v>0.0289156626506024</v>
      </c>
      <c r="BX19" s="188">
        <f t="shared" si="35"/>
        <v>2.76</v>
      </c>
      <c r="BY19" s="195">
        <v>1</v>
      </c>
      <c r="BZ19" s="196">
        <v>0.142857142857143</v>
      </c>
      <c r="CA19" s="188">
        <f>+BY19*BZ19*21</f>
        <v>3</v>
      </c>
      <c r="CB19" s="101"/>
      <c r="CC19" s="84">
        <v>0</v>
      </c>
      <c r="CD19" s="208">
        <f t="shared" si="26"/>
        <v>50.11</v>
      </c>
      <c r="CF19" s="209"/>
    </row>
    <row r="20" s="46" customFormat="1" ht="26" customHeight="1" spans="1:84">
      <c r="A20" s="94" t="s">
        <v>293</v>
      </c>
      <c r="B20" s="102">
        <f>SUM(B21:B24)</f>
        <v>0</v>
      </c>
      <c r="C20" s="96">
        <f t="shared" ref="B20:AG20" si="37">SUM(C21:C24)</f>
        <v>0</v>
      </c>
      <c r="D20" s="97">
        <f t="shared" si="37"/>
        <v>0</v>
      </c>
      <c r="E20" s="98">
        <f t="shared" si="37"/>
        <v>2029</v>
      </c>
      <c r="F20" s="99">
        <f t="shared" si="37"/>
        <v>30475</v>
      </c>
      <c r="G20" s="99">
        <f t="shared" si="37"/>
        <v>0.0543</v>
      </c>
      <c r="H20" s="101">
        <f t="shared" si="37"/>
        <v>115.92</v>
      </c>
      <c r="I20" s="115">
        <f t="shared" si="37"/>
        <v>0</v>
      </c>
      <c r="J20" s="115">
        <f t="shared" si="37"/>
        <v>0</v>
      </c>
      <c r="K20" s="115">
        <f t="shared" si="37"/>
        <v>0</v>
      </c>
      <c r="L20" s="115">
        <f t="shared" si="37"/>
        <v>781</v>
      </c>
      <c r="M20" s="116">
        <f t="shared" si="37"/>
        <v>0.0125</v>
      </c>
      <c r="N20" s="101">
        <f t="shared" si="37"/>
        <v>6.54</v>
      </c>
      <c r="O20" s="101">
        <f t="shared" si="37"/>
        <v>0</v>
      </c>
      <c r="P20" s="101">
        <f t="shared" si="37"/>
        <v>6.54</v>
      </c>
      <c r="Q20" s="121">
        <f t="shared" si="37"/>
        <v>3503</v>
      </c>
      <c r="R20" s="122">
        <f t="shared" si="37"/>
        <v>5060</v>
      </c>
      <c r="S20" s="100">
        <f t="shared" si="37"/>
        <v>0.0433</v>
      </c>
      <c r="T20" s="100">
        <f t="shared" si="37"/>
        <v>0.02165</v>
      </c>
      <c r="U20" s="100">
        <f t="shared" si="37"/>
        <v>0.0268</v>
      </c>
      <c r="V20" s="97">
        <f t="shared" si="37"/>
        <v>35.63</v>
      </c>
      <c r="W20" s="115">
        <f t="shared" si="37"/>
        <v>0</v>
      </c>
      <c r="X20" s="115">
        <f t="shared" si="37"/>
        <v>0</v>
      </c>
      <c r="Y20" s="115">
        <f t="shared" si="37"/>
        <v>0</v>
      </c>
      <c r="Z20" s="115">
        <f t="shared" si="37"/>
        <v>1</v>
      </c>
      <c r="AA20" s="115">
        <f t="shared" si="37"/>
        <v>0</v>
      </c>
      <c r="AB20" s="115">
        <f t="shared" si="37"/>
        <v>0</v>
      </c>
      <c r="AC20" s="115">
        <f t="shared" si="37"/>
        <v>0</v>
      </c>
      <c r="AD20" s="115">
        <f t="shared" si="37"/>
        <v>0.0206</v>
      </c>
      <c r="AE20" s="115">
        <f t="shared" si="37"/>
        <v>6.16</v>
      </c>
      <c r="AF20" s="98">
        <f t="shared" si="37"/>
        <v>3</v>
      </c>
      <c r="AG20" s="98">
        <f t="shared" si="37"/>
        <v>70</v>
      </c>
      <c r="AH20" s="98">
        <f t="shared" ref="AH20:BM20" si="38">SUM(AH21:AH24)</f>
        <v>750</v>
      </c>
      <c r="AI20" s="98">
        <f t="shared" si="38"/>
        <v>180</v>
      </c>
      <c r="AJ20" s="98">
        <f t="shared" si="38"/>
        <v>1</v>
      </c>
      <c r="AK20" s="98">
        <f t="shared" si="38"/>
        <v>2</v>
      </c>
      <c r="AL20" s="98">
        <f t="shared" si="38"/>
        <v>0</v>
      </c>
      <c r="AM20" s="98">
        <f t="shared" si="38"/>
        <v>1</v>
      </c>
      <c r="AN20" s="147">
        <f t="shared" si="38"/>
        <v>0.0372</v>
      </c>
      <c r="AO20" s="97">
        <f t="shared" si="38"/>
        <v>5.06</v>
      </c>
      <c r="AP20" s="155">
        <f t="shared" si="38"/>
        <v>0</v>
      </c>
      <c r="AQ20" s="156">
        <f t="shared" si="38"/>
        <v>1084</v>
      </c>
      <c r="AR20" s="96">
        <f t="shared" si="38"/>
        <v>0.0026388628545972</v>
      </c>
      <c r="AS20" s="97">
        <f t="shared" si="38"/>
        <v>0.76</v>
      </c>
      <c r="AT20" s="157">
        <f t="shared" si="38"/>
        <v>14174</v>
      </c>
      <c r="AU20" s="157">
        <f t="shared" si="38"/>
        <v>436</v>
      </c>
      <c r="AV20" s="157">
        <f t="shared" si="38"/>
        <v>124</v>
      </c>
      <c r="AW20" s="157">
        <f t="shared" si="38"/>
        <v>0</v>
      </c>
      <c r="AX20" s="157">
        <f t="shared" si="38"/>
        <v>0</v>
      </c>
      <c r="AY20" s="96">
        <f t="shared" si="38"/>
        <v>0.0318220185253798</v>
      </c>
      <c r="AZ20" s="97">
        <f t="shared" si="38"/>
        <v>33.74</v>
      </c>
      <c r="BA20" s="82">
        <f t="shared" si="38"/>
        <v>1</v>
      </c>
      <c r="BB20" s="82">
        <f t="shared" si="38"/>
        <v>0</v>
      </c>
      <c r="BC20" s="82">
        <f t="shared" si="38"/>
        <v>0</v>
      </c>
      <c r="BD20" s="82">
        <f t="shared" si="38"/>
        <v>5</v>
      </c>
      <c r="BE20" s="82">
        <f t="shared" si="38"/>
        <v>0</v>
      </c>
      <c r="BF20" s="82">
        <f t="shared" si="38"/>
        <v>0</v>
      </c>
      <c r="BG20" s="82">
        <f t="shared" si="38"/>
        <v>3</v>
      </c>
      <c r="BH20" s="131">
        <f t="shared" si="38"/>
        <v>0.0344</v>
      </c>
      <c r="BI20" s="97">
        <f t="shared" si="38"/>
        <v>20.47</v>
      </c>
      <c r="BJ20" s="98">
        <f t="shared" si="38"/>
        <v>0</v>
      </c>
      <c r="BK20" s="99">
        <f t="shared" si="38"/>
        <v>0</v>
      </c>
      <c r="BL20" s="116">
        <f t="shared" si="38"/>
        <v>0</v>
      </c>
      <c r="BM20" s="186">
        <f t="shared" si="38"/>
        <v>0</v>
      </c>
      <c r="BN20" s="187">
        <f t="shared" ref="BN20:CD20" si="39">SUM(BN21:BN24)</f>
        <v>0</v>
      </c>
      <c r="BO20" s="186">
        <f t="shared" si="39"/>
        <v>0</v>
      </c>
      <c r="BP20" s="186">
        <f t="shared" si="39"/>
        <v>20.47</v>
      </c>
      <c r="BQ20" s="98">
        <f t="shared" si="39"/>
        <v>139</v>
      </c>
      <c r="BR20" s="116">
        <f t="shared" si="39"/>
        <v>0.0360570687418936</v>
      </c>
      <c r="BS20" s="188">
        <f t="shared" si="39"/>
        <v>17.89</v>
      </c>
      <c r="BT20" s="98">
        <f t="shared" si="39"/>
        <v>5</v>
      </c>
      <c r="BU20" s="98">
        <f t="shared" si="39"/>
        <v>1</v>
      </c>
      <c r="BV20" s="189">
        <f t="shared" si="39"/>
        <v>0</v>
      </c>
      <c r="BW20" s="116">
        <f t="shared" si="39"/>
        <v>0.0526372155287818</v>
      </c>
      <c r="BX20" s="188">
        <f t="shared" si="39"/>
        <v>4.47</v>
      </c>
      <c r="BY20" s="195">
        <f t="shared" si="39"/>
        <v>0</v>
      </c>
      <c r="BZ20" s="196">
        <f t="shared" si="39"/>
        <v>0</v>
      </c>
      <c r="CA20" s="188">
        <f t="shared" si="39"/>
        <v>0</v>
      </c>
      <c r="CB20" s="101">
        <f t="shared" si="39"/>
        <v>0</v>
      </c>
      <c r="CC20" s="84">
        <f t="shared" si="39"/>
        <v>0</v>
      </c>
      <c r="CD20" s="208">
        <f t="shared" si="39"/>
        <v>246.64</v>
      </c>
      <c r="CE20" s="45"/>
      <c r="CF20" s="209"/>
    </row>
    <row r="21" s="45" customFormat="1" ht="12" customHeight="1" spans="1:84">
      <c r="A21" s="94" t="s">
        <v>294</v>
      </c>
      <c r="B21" s="95"/>
      <c r="C21" s="96"/>
      <c r="D21" s="97"/>
      <c r="E21" s="98"/>
      <c r="F21" s="99"/>
      <c r="G21" s="99"/>
      <c r="H21" s="101"/>
      <c r="I21" s="115"/>
      <c r="J21" s="115"/>
      <c r="K21" s="115"/>
      <c r="L21" s="115"/>
      <c r="M21" s="116">
        <f t="shared" si="10"/>
        <v>0</v>
      </c>
      <c r="N21" s="101">
        <f>ROUND(701.4*M21,2)</f>
        <v>0</v>
      </c>
      <c r="O21" s="101"/>
      <c r="P21" s="101">
        <f t="shared" si="20"/>
        <v>0</v>
      </c>
      <c r="Q21" s="121">
        <v>3503</v>
      </c>
      <c r="R21" s="122">
        <v>5060</v>
      </c>
      <c r="S21" s="123">
        <f t="shared" ref="S21:S32" si="40">ROUND((Q21*0.0027+R21*0.055)/(Q$7*0.0027+R$7*0.055),4)</f>
        <v>0.0433</v>
      </c>
      <c r="T21" s="123">
        <f>0.5*S21</f>
        <v>0.02165</v>
      </c>
      <c r="U21" s="116">
        <f t="shared" ref="U21:U32" si="41">ROUND(T21/SUM(T$9:T$20,T$25:T$32,T$34:T$68),4)</f>
        <v>0.0268</v>
      </c>
      <c r="V21" s="101">
        <f>ROUND(1329.42*U21,2)</f>
        <v>35.63</v>
      </c>
      <c r="W21" s="115"/>
      <c r="X21" s="115"/>
      <c r="Y21" s="115"/>
      <c r="Z21" s="115"/>
      <c r="AA21" s="115"/>
      <c r="AB21" s="115"/>
      <c r="AC21" s="115"/>
      <c r="AD21" s="115"/>
      <c r="AE21" s="115"/>
      <c r="AF21" s="98">
        <v>0</v>
      </c>
      <c r="AG21" s="98">
        <v>70</v>
      </c>
      <c r="AH21" s="98">
        <v>750</v>
      </c>
      <c r="AI21" s="98">
        <v>180</v>
      </c>
      <c r="AJ21" s="98">
        <v>1</v>
      </c>
      <c r="AK21" s="98">
        <v>2</v>
      </c>
      <c r="AL21" s="98">
        <v>0</v>
      </c>
      <c r="AM21" s="98">
        <v>0</v>
      </c>
      <c r="AN21" s="147"/>
      <c r="AO21" s="97">
        <f>ROUND(188.45*AN21,2)</f>
        <v>0</v>
      </c>
      <c r="AP21" s="155"/>
      <c r="AQ21" s="156"/>
      <c r="AR21" s="96">
        <f t="shared" ref="AR21:AR32" si="42">(AP21*0.04*12+AQ21*0.001)/(AP$7*0.04*12+AQ$7*0.001)</f>
        <v>0</v>
      </c>
      <c r="AS21" s="97">
        <f t="shared" ref="AS21:AS31" si="43">ROUND(373.8*AR21,2)</f>
        <v>0</v>
      </c>
      <c r="AT21" s="157"/>
      <c r="AU21" s="157"/>
      <c r="AV21" s="157"/>
      <c r="AW21" s="157"/>
      <c r="AX21" s="157"/>
      <c r="AY21" s="96"/>
      <c r="AZ21" s="97"/>
      <c r="BA21" s="82"/>
      <c r="BB21" s="82"/>
      <c r="BC21" s="82"/>
      <c r="BD21" s="82"/>
      <c r="BE21" s="82"/>
      <c r="BF21" s="82"/>
      <c r="BG21" s="82"/>
      <c r="BH21" s="131"/>
      <c r="BI21" s="97"/>
      <c r="BJ21" s="98"/>
      <c r="BK21" s="99"/>
      <c r="BL21" s="116"/>
      <c r="BM21" s="186"/>
      <c r="BN21" s="187"/>
      <c r="BO21" s="186"/>
      <c r="BP21" s="186">
        <f t="shared" si="36"/>
        <v>0</v>
      </c>
      <c r="BQ21" s="98"/>
      <c r="BR21" s="116">
        <f t="shared" ref="BR21:BR68" si="44">BQ21/$BQ$7</f>
        <v>0</v>
      </c>
      <c r="BS21" s="188"/>
      <c r="BT21" s="189">
        <v>2</v>
      </c>
      <c r="BU21" s="189">
        <v>1</v>
      </c>
      <c r="BV21" s="189"/>
      <c r="BW21" s="116">
        <f>BT21/83*0.8+BU21/9*0.04+BV21/87*0.16</f>
        <v>0.0237215528781794</v>
      </c>
      <c r="BX21" s="188">
        <f t="shared" si="35"/>
        <v>2.26</v>
      </c>
      <c r="BY21" s="195"/>
      <c r="BZ21" s="196"/>
      <c r="CA21" s="188"/>
      <c r="CB21" s="101"/>
      <c r="CC21" s="84"/>
      <c r="CD21" s="208">
        <f t="shared" si="26"/>
        <v>37.89</v>
      </c>
      <c r="CF21" s="209"/>
    </row>
    <row r="22" s="47" customFormat="1" ht="12" customHeight="1" spans="1:84">
      <c r="A22" s="94" t="s">
        <v>295</v>
      </c>
      <c r="B22" s="95"/>
      <c r="C22" s="96"/>
      <c r="D22" s="97"/>
      <c r="E22" s="98">
        <v>1353</v>
      </c>
      <c r="F22" s="99">
        <v>14122</v>
      </c>
      <c r="G22" s="100">
        <f t="shared" ref="G22:G32" si="45">ROUND((E22*0.0276+F22*0.001)/(E$7*0.0276+F$7*0.001),4)</f>
        <v>0.0323</v>
      </c>
      <c r="H22" s="101">
        <f>ROUND(2832*G22*0.7,2)</f>
        <v>64.03</v>
      </c>
      <c r="I22" s="115"/>
      <c r="J22" s="115"/>
      <c r="K22" s="115"/>
      <c r="L22" s="115">
        <v>324</v>
      </c>
      <c r="M22" s="116">
        <f t="shared" si="10"/>
        <v>0.0052</v>
      </c>
      <c r="N22" s="101">
        <f>ROUND(701.4*M22*0.7,2)</f>
        <v>2.55</v>
      </c>
      <c r="O22" s="101"/>
      <c r="P22" s="101">
        <f t="shared" si="20"/>
        <v>2.55</v>
      </c>
      <c r="Q22" s="121"/>
      <c r="R22" s="122"/>
      <c r="S22" s="123"/>
      <c r="T22" s="123"/>
      <c r="U22" s="116"/>
      <c r="V22" s="101"/>
      <c r="W22" s="115"/>
      <c r="X22" s="125"/>
      <c r="Y22" s="125"/>
      <c r="Z22" s="82"/>
      <c r="AA22" s="82"/>
      <c r="AB22" s="82"/>
      <c r="AC22" s="82"/>
      <c r="AD22" s="142"/>
      <c r="AE22" s="84"/>
      <c r="AF22" s="98">
        <v>1</v>
      </c>
      <c r="AG22" s="98">
        <v>0</v>
      </c>
      <c r="AH22" s="98">
        <v>0</v>
      </c>
      <c r="AI22" s="98">
        <v>0</v>
      </c>
      <c r="AJ22" s="98">
        <v>0</v>
      </c>
      <c r="AK22" s="98">
        <v>0</v>
      </c>
      <c r="AL22" s="98">
        <v>0</v>
      </c>
      <c r="AM22" s="98">
        <v>0</v>
      </c>
      <c r="AN22" s="147">
        <v>0.0053</v>
      </c>
      <c r="AO22" s="97">
        <f>ROUND(188.45*AN22*0.7,2)</f>
        <v>0.7</v>
      </c>
      <c r="AP22" s="155"/>
      <c r="AQ22" s="156">
        <v>476</v>
      </c>
      <c r="AR22" s="96">
        <f t="shared" si="42"/>
        <v>0.00115876265570873</v>
      </c>
      <c r="AS22" s="97">
        <f>ROUND(373.8*AR22*0.7,2)</f>
        <v>0.3</v>
      </c>
      <c r="AT22" s="157">
        <v>5889</v>
      </c>
      <c r="AU22" s="157">
        <v>167</v>
      </c>
      <c r="AV22" s="157">
        <v>52</v>
      </c>
      <c r="AW22" s="157"/>
      <c r="AX22" s="157"/>
      <c r="AY22" s="96">
        <f t="shared" ref="AY22:AY32" si="46">(AT22*0.000861+AU22*0.025+AV22*0.08*2+AW22*1.5+AX22*20)/1349.5</f>
        <v>0.0130162497221193</v>
      </c>
      <c r="AZ22" s="97">
        <f>ROUND(AY22*1349.5*0.7,2)</f>
        <v>12.3</v>
      </c>
      <c r="BA22" s="82">
        <v>1</v>
      </c>
      <c r="BB22" s="82"/>
      <c r="BC22" s="82"/>
      <c r="BD22" s="82">
        <v>1</v>
      </c>
      <c r="BE22" s="82"/>
      <c r="BF22" s="82"/>
      <c r="BG22" s="82">
        <v>1</v>
      </c>
      <c r="BH22" s="131">
        <f t="shared" si="34"/>
        <v>0.0216</v>
      </c>
      <c r="BI22" s="97">
        <f>ROUND(786*BH22*0.7,2)</f>
        <v>11.88</v>
      </c>
      <c r="BJ22" s="98"/>
      <c r="BK22" s="99"/>
      <c r="BL22" s="116"/>
      <c r="BM22" s="186"/>
      <c r="BN22" s="187"/>
      <c r="BO22" s="186"/>
      <c r="BP22" s="186">
        <f t="shared" si="36"/>
        <v>11.88</v>
      </c>
      <c r="BQ22" s="98">
        <v>53</v>
      </c>
      <c r="BR22" s="116">
        <f t="shared" si="44"/>
        <v>0.0137483787289235</v>
      </c>
      <c r="BS22" s="188">
        <f>ROUND(631*BR22*0.7,2)</f>
        <v>6.07</v>
      </c>
      <c r="BT22" s="189">
        <v>1</v>
      </c>
      <c r="BU22" s="189"/>
      <c r="BV22" s="189"/>
      <c r="BW22" s="116">
        <f t="shared" ref="BW22:BW32" si="47">BT22/83*0.8+BU22/9*0.04+BV22/87*0.16</f>
        <v>0.00963855421686747</v>
      </c>
      <c r="BX22" s="188">
        <f>ROUND(95.48*BW22*0.7,2)</f>
        <v>0.64</v>
      </c>
      <c r="BY22" s="195"/>
      <c r="BZ22" s="196"/>
      <c r="CA22" s="188"/>
      <c r="CB22" s="101"/>
      <c r="CC22" s="84"/>
      <c r="CD22" s="208">
        <f t="shared" si="26"/>
        <v>98.47</v>
      </c>
      <c r="CF22" s="210"/>
    </row>
    <row r="23" s="47" customFormat="1" ht="12" customHeight="1" spans="1:84">
      <c r="A23" s="94" t="s">
        <v>296</v>
      </c>
      <c r="B23" s="95"/>
      <c r="C23" s="96"/>
      <c r="D23" s="97"/>
      <c r="E23" s="98">
        <v>376</v>
      </c>
      <c r="F23" s="99">
        <v>9768</v>
      </c>
      <c r="G23" s="100">
        <f t="shared" si="45"/>
        <v>0.0127</v>
      </c>
      <c r="H23" s="101">
        <f>ROUND(2832*G23*0.7,2)</f>
        <v>25.18</v>
      </c>
      <c r="I23" s="115"/>
      <c r="J23" s="115"/>
      <c r="K23" s="115"/>
      <c r="L23" s="115">
        <v>336</v>
      </c>
      <c r="M23" s="116">
        <f t="shared" si="10"/>
        <v>0.0054</v>
      </c>
      <c r="N23" s="101">
        <f>ROUND(701.4*M23*0.7,2)</f>
        <v>2.65</v>
      </c>
      <c r="O23" s="101"/>
      <c r="P23" s="101">
        <f t="shared" si="20"/>
        <v>2.65</v>
      </c>
      <c r="Q23" s="121"/>
      <c r="R23" s="122"/>
      <c r="S23" s="123"/>
      <c r="T23" s="123"/>
      <c r="U23" s="116"/>
      <c r="V23" s="101"/>
      <c r="W23" s="115"/>
      <c r="X23" s="125"/>
      <c r="Y23" s="125"/>
      <c r="Z23" s="82"/>
      <c r="AA23" s="82"/>
      <c r="AB23" s="82"/>
      <c r="AC23" s="82"/>
      <c r="AD23" s="142"/>
      <c r="AE23" s="84"/>
      <c r="AF23" s="98">
        <v>1</v>
      </c>
      <c r="AG23" s="98">
        <v>0</v>
      </c>
      <c r="AH23" s="98">
        <v>0</v>
      </c>
      <c r="AI23" s="98">
        <v>0</v>
      </c>
      <c r="AJ23" s="98">
        <v>0</v>
      </c>
      <c r="AK23" s="98">
        <v>0</v>
      </c>
      <c r="AL23" s="98">
        <v>0</v>
      </c>
      <c r="AM23" s="98">
        <v>1</v>
      </c>
      <c r="AN23" s="147">
        <v>0.0292</v>
      </c>
      <c r="AO23" s="97">
        <f>ROUND(188.45*AN23*0.7,2)</f>
        <v>3.85</v>
      </c>
      <c r="AP23" s="155"/>
      <c r="AQ23" s="156">
        <v>356</v>
      </c>
      <c r="AR23" s="96">
        <f t="shared" si="42"/>
        <v>0.00086663761645443</v>
      </c>
      <c r="AS23" s="97">
        <f>ROUND(373.8*AR23*0.7,2)</f>
        <v>0.23</v>
      </c>
      <c r="AT23" s="157">
        <v>4973</v>
      </c>
      <c r="AU23" s="157">
        <v>135</v>
      </c>
      <c r="AV23" s="157">
        <v>36</v>
      </c>
      <c r="AW23" s="157"/>
      <c r="AX23" s="157"/>
      <c r="AY23" s="96">
        <f t="shared" si="46"/>
        <v>0.00994201778436458</v>
      </c>
      <c r="AZ23" s="97">
        <f>ROUND(AY23*1349.5*0.7,2)</f>
        <v>9.39</v>
      </c>
      <c r="BA23" s="82"/>
      <c r="BB23" s="82"/>
      <c r="BC23" s="82"/>
      <c r="BD23" s="82">
        <v>2</v>
      </c>
      <c r="BE23" s="82"/>
      <c r="BF23" s="82"/>
      <c r="BG23" s="82">
        <v>1</v>
      </c>
      <c r="BH23" s="131">
        <f t="shared" si="34"/>
        <v>0.0064</v>
      </c>
      <c r="BI23" s="97">
        <f>ROUND(786*BH23*0.7,2)</f>
        <v>3.52</v>
      </c>
      <c r="BJ23" s="98"/>
      <c r="BK23" s="99"/>
      <c r="BL23" s="116"/>
      <c r="BM23" s="186"/>
      <c r="BN23" s="187"/>
      <c r="BO23" s="186"/>
      <c r="BP23" s="186">
        <f t="shared" si="36"/>
        <v>3.52</v>
      </c>
      <c r="BQ23" s="98">
        <v>47</v>
      </c>
      <c r="BR23" s="116">
        <f t="shared" si="44"/>
        <v>0.0121919584954604</v>
      </c>
      <c r="BS23" s="188">
        <f>ROUND(631*BR23*0.7,2)</f>
        <v>5.39</v>
      </c>
      <c r="BT23" s="189">
        <v>1</v>
      </c>
      <c r="BU23" s="189"/>
      <c r="BV23" s="189"/>
      <c r="BW23" s="116">
        <f t="shared" si="47"/>
        <v>0.00963855421686747</v>
      </c>
      <c r="BX23" s="188">
        <f>ROUND(95.48*BW23*0.7,2)</f>
        <v>0.64</v>
      </c>
      <c r="BY23" s="195"/>
      <c r="BZ23" s="196"/>
      <c r="CA23" s="188"/>
      <c r="CB23" s="101"/>
      <c r="CC23" s="84"/>
      <c r="CD23" s="208">
        <f t="shared" si="26"/>
        <v>50.85</v>
      </c>
      <c r="CF23" s="210"/>
    </row>
    <row r="24" s="47" customFormat="1" ht="12" customHeight="1" spans="1:84">
      <c r="A24" s="94" t="s">
        <v>297</v>
      </c>
      <c r="B24" s="95"/>
      <c r="C24" s="96"/>
      <c r="D24" s="97"/>
      <c r="E24" s="98">
        <v>300</v>
      </c>
      <c r="F24" s="99">
        <v>6585</v>
      </c>
      <c r="G24" s="100">
        <f t="shared" si="45"/>
        <v>0.0093</v>
      </c>
      <c r="H24" s="101">
        <f t="shared" ref="H24:H31" si="48">ROUND(2832*G24+40*G24,2)</f>
        <v>26.71</v>
      </c>
      <c r="I24" s="115"/>
      <c r="J24" s="115"/>
      <c r="K24" s="115"/>
      <c r="L24" s="115">
        <v>121</v>
      </c>
      <c r="M24" s="116">
        <f t="shared" si="10"/>
        <v>0.0019</v>
      </c>
      <c r="N24" s="101">
        <f t="shared" ref="N24:N68" si="49">ROUND(701.4*M24+2.17*M24,2)</f>
        <v>1.34</v>
      </c>
      <c r="O24" s="101"/>
      <c r="P24" s="101">
        <f t="shared" si="20"/>
        <v>1.34</v>
      </c>
      <c r="Q24" s="121"/>
      <c r="R24" s="122"/>
      <c r="S24" s="123"/>
      <c r="T24" s="123"/>
      <c r="U24" s="116"/>
      <c r="V24" s="101"/>
      <c r="W24" s="115"/>
      <c r="X24" s="125"/>
      <c r="Y24" s="125"/>
      <c r="Z24" s="82">
        <v>1</v>
      </c>
      <c r="AA24" s="82"/>
      <c r="AB24" s="82"/>
      <c r="AC24" s="82"/>
      <c r="AD24" s="142">
        <f t="shared" ref="AD24:AD32" si="50">ROUND((W24*0.01+X24*2+Y24*2+Z24*5+AA24*2+AB24*37.15+AC24*20)/(W$7*0.01+X$7*2+Y$7*2+Z$7*5+AA$7*2+AB$7*37.15+AC$7*20),4)</f>
        <v>0.0206</v>
      </c>
      <c r="AE24" s="84">
        <f>+ROUND(299.2*AD24,2)</f>
        <v>6.16</v>
      </c>
      <c r="AF24" s="98">
        <v>1</v>
      </c>
      <c r="AG24" s="98">
        <v>0</v>
      </c>
      <c r="AH24" s="98">
        <v>0</v>
      </c>
      <c r="AI24" s="98">
        <v>0</v>
      </c>
      <c r="AJ24" s="98">
        <v>0</v>
      </c>
      <c r="AK24" s="98">
        <v>0</v>
      </c>
      <c r="AL24" s="98">
        <v>0</v>
      </c>
      <c r="AM24" s="98">
        <v>0</v>
      </c>
      <c r="AN24" s="147">
        <v>0.0027</v>
      </c>
      <c r="AO24" s="97">
        <f>ROUND(188.45*AN24+1.95*AN24,2)</f>
        <v>0.51</v>
      </c>
      <c r="AP24" s="155"/>
      <c r="AQ24" s="156">
        <v>252</v>
      </c>
      <c r="AR24" s="96">
        <f t="shared" si="42"/>
        <v>0.000613462582434035</v>
      </c>
      <c r="AS24" s="97">
        <f t="shared" si="43"/>
        <v>0.23</v>
      </c>
      <c r="AT24" s="157">
        <v>3312</v>
      </c>
      <c r="AU24" s="157">
        <v>134</v>
      </c>
      <c r="AV24" s="157">
        <v>36</v>
      </c>
      <c r="AW24" s="157"/>
      <c r="AX24" s="157"/>
      <c r="AY24" s="96">
        <f t="shared" si="46"/>
        <v>0.00886375101889589</v>
      </c>
      <c r="AZ24" s="97">
        <f t="shared" ref="AZ24:AZ32" si="51">ROUND(AY24*1349.5+9.5269*AY24,2)</f>
        <v>12.05</v>
      </c>
      <c r="BA24" s="82"/>
      <c r="BB24" s="82"/>
      <c r="BC24" s="82"/>
      <c r="BD24" s="82">
        <v>2</v>
      </c>
      <c r="BE24" s="82"/>
      <c r="BF24" s="82"/>
      <c r="BG24" s="82">
        <v>1</v>
      </c>
      <c r="BH24" s="131">
        <f t="shared" si="34"/>
        <v>0.0064</v>
      </c>
      <c r="BI24" s="97">
        <f>ROUND(786*BH24+6.6*BH24,2)</f>
        <v>5.07</v>
      </c>
      <c r="BJ24" s="98"/>
      <c r="BK24" s="99"/>
      <c r="BL24" s="116"/>
      <c r="BM24" s="186"/>
      <c r="BN24" s="187"/>
      <c r="BO24" s="186"/>
      <c r="BP24" s="186">
        <f t="shared" si="36"/>
        <v>5.07</v>
      </c>
      <c r="BQ24" s="98">
        <v>39</v>
      </c>
      <c r="BR24" s="116">
        <f t="shared" si="44"/>
        <v>0.0101167315175097</v>
      </c>
      <c r="BS24" s="188">
        <f t="shared" ref="BS24:BS68" si="52">ROUND(631*BR24+5*BR24,2)</f>
        <v>6.43</v>
      </c>
      <c r="BT24" s="189">
        <v>1</v>
      </c>
      <c r="BU24" s="189"/>
      <c r="BV24" s="189"/>
      <c r="BW24" s="116">
        <f t="shared" si="47"/>
        <v>0.00963855421686747</v>
      </c>
      <c r="BX24" s="188">
        <f t="shared" ref="BX24:BX32" si="53">ROUND(95.48*BW24+0.5*BW24,2)</f>
        <v>0.93</v>
      </c>
      <c r="BY24" s="195"/>
      <c r="BZ24" s="196"/>
      <c r="CA24" s="188"/>
      <c r="CB24" s="101"/>
      <c r="CC24" s="84"/>
      <c r="CD24" s="208">
        <f t="shared" si="26"/>
        <v>59.43</v>
      </c>
      <c r="CF24" s="210"/>
    </row>
    <row r="25" s="43" customFormat="1" ht="12" customHeight="1" spans="1:84">
      <c r="A25" s="94" t="s">
        <v>120</v>
      </c>
      <c r="B25" s="95">
        <v>437695</v>
      </c>
      <c r="C25" s="96">
        <f t="shared" ref="C25:C32" si="54">ROUND(B25/B$7,4)</f>
        <v>0.026</v>
      </c>
      <c r="D25" s="97">
        <f t="shared" ref="D25:D32" si="55">ROUND(205*C25,2)</f>
        <v>5.33</v>
      </c>
      <c r="E25" s="98">
        <v>3420</v>
      </c>
      <c r="F25" s="99">
        <v>22412</v>
      </c>
      <c r="G25" s="100">
        <f t="shared" si="45"/>
        <v>0.0734</v>
      </c>
      <c r="H25" s="101">
        <f t="shared" si="48"/>
        <v>210.8</v>
      </c>
      <c r="I25" s="115">
        <v>9</v>
      </c>
      <c r="J25" s="115"/>
      <c r="K25" s="115"/>
      <c r="L25" s="115">
        <v>583</v>
      </c>
      <c r="M25" s="116">
        <f t="shared" si="10"/>
        <v>0.0388</v>
      </c>
      <c r="N25" s="101">
        <f t="shared" si="49"/>
        <v>27.3</v>
      </c>
      <c r="O25" s="101"/>
      <c r="P25" s="101">
        <f t="shared" ref="P25:P32" si="56">N25+O25</f>
        <v>27.3</v>
      </c>
      <c r="Q25" s="121">
        <v>3314</v>
      </c>
      <c r="R25" s="122">
        <v>4860</v>
      </c>
      <c r="S25" s="123">
        <f t="shared" si="40"/>
        <v>0.0416</v>
      </c>
      <c r="T25" s="123">
        <f t="shared" ref="T25:T68" si="57">S25</f>
        <v>0.0416</v>
      </c>
      <c r="U25" s="116">
        <f t="shared" si="41"/>
        <v>0.0515</v>
      </c>
      <c r="V25" s="101">
        <f t="shared" ref="V21:V32" si="58">ROUND(1329.42*U25,2)</f>
        <v>68.47</v>
      </c>
      <c r="W25" s="115">
        <v>120</v>
      </c>
      <c r="X25" s="125"/>
      <c r="Y25" s="125"/>
      <c r="Z25" s="82"/>
      <c r="AA25" s="82"/>
      <c r="AB25" s="82"/>
      <c r="AC25" s="82"/>
      <c r="AD25" s="142">
        <f t="shared" si="50"/>
        <v>0.005</v>
      </c>
      <c r="AE25" s="84">
        <f t="shared" ref="AE24:AE32" si="59">+ROUND(299.2*AD25,2)</f>
        <v>1.5</v>
      </c>
      <c r="AF25" s="98">
        <v>2</v>
      </c>
      <c r="AG25" s="98">
        <v>46</v>
      </c>
      <c r="AH25" s="98">
        <v>0</v>
      </c>
      <c r="AI25" s="98">
        <v>50</v>
      </c>
      <c r="AJ25" s="98">
        <v>1</v>
      </c>
      <c r="AK25" s="98">
        <v>1</v>
      </c>
      <c r="AL25" s="98">
        <v>0</v>
      </c>
      <c r="AM25" s="98" t="s">
        <v>292</v>
      </c>
      <c r="AN25" s="147">
        <v>0.0156</v>
      </c>
      <c r="AO25" s="97">
        <f t="shared" ref="AO25:AO68" si="60">ROUND(188.45*AN25+1.95*AN25,2)</f>
        <v>2.97</v>
      </c>
      <c r="AP25" s="155">
        <v>20</v>
      </c>
      <c r="AQ25" s="156">
        <v>825</v>
      </c>
      <c r="AR25" s="96">
        <f t="shared" si="42"/>
        <v>0.0253783627852175</v>
      </c>
      <c r="AS25" s="97">
        <f t="shared" si="43"/>
        <v>9.49</v>
      </c>
      <c r="AT25" s="157">
        <v>9684</v>
      </c>
      <c r="AU25" s="157">
        <v>328</v>
      </c>
      <c r="AV25" s="157">
        <v>76</v>
      </c>
      <c r="AW25" s="157">
        <v>15</v>
      </c>
      <c r="AX25" s="157">
        <v>1</v>
      </c>
      <c r="AY25" s="96">
        <f t="shared" si="46"/>
        <v>0.0527587432382364</v>
      </c>
      <c r="AZ25" s="97">
        <f t="shared" si="51"/>
        <v>71.7</v>
      </c>
      <c r="BA25" s="82">
        <v>1</v>
      </c>
      <c r="BB25" s="82">
        <v>1</v>
      </c>
      <c r="BC25" s="82"/>
      <c r="BD25" s="82">
        <v>6</v>
      </c>
      <c r="BE25" s="82"/>
      <c r="BF25" s="82">
        <v>1</v>
      </c>
      <c r="BG25" s="82">
        <v>1</v>
      </c>
      <c r="BH25" s="131">
        <f t="shared" ref="BH25:BH32" si="61">ROUND((BA25*13+1.5+BB25*1.6+BC25*6+BD25*1+BE25*6.2+BF25*15+1+BG25*3)/786,4)</f>
        <v>0.0523</v>
      </c>
      <c r="BI25" s="97">
        <f t="shared" ref="BI24:BI68" si="62">ROUND(786*BH25+6.6*BH25,2)</f>
        <v>41.45</v>
      </c>
      <c r="BJ25" s="98">
        <v>500</v>
      </c>
      <c r="BK25" s="99">
        <v>2000</v>
      </c>
      <c r="BL25" s="116">
        <f t="shared" ref="BL25:BL32" si="63">ROUND((BJ25*0.0035+BK25*0.003)/148,4)</f>
        <v>0.0524</v>
      </c>
      <c r="BM25" s="186">
        <f t="shared" ref="BM25:BM32" si="64">ROUND(125*BL25,2)</f>
        <v>6.55</v>
      </c>
      <c r="BN25" s="187"/>
      <c r="BO25" s="186"/>
      <c r="BP25" s="186">
        <f t="shared" ref="BP25:BP32" si="65">BI25+BM25+BO25</f>
        <v>48</v>
      </c>
      <c r="BQ25" s="98">
        <v>105</v>
      </c>
      <c r="BR25" s="116">
        <f t="shared" si="44"/>
        <v>0.0272373540856031</v>
      </c>
      <c r="BS25" s="188">
        <f t="shared" si="52"/>
        <v>17.32</v>
      </c>
      <c r="BT25" s="189">
        <v>1</v>
      </c>
      <c r="BU25" s="189">
        <v>1</v>
      </c>
      <c r="BV25" s="189">
        <v>3</v>
      </c>
      <c r="BW25" s="116">
        <f t="shared" si="47"/>
        <v>0.0196002400406223</v>
      </c>
      <c r="BX25" s="188">
        <f t="shared" si="53"/>
        <v>1.88</v>
      </c>
      <c r="BY25" s="195"/>
      <c r="BZ25" s="196"/>
      <c r="CA25" s="188"/>
      <c r="CB25" s="101"/>
      <c r="CC25" s="84">
        <v>0</v>
      </c>
      <c r="CD25" s="208">
        <f t="shared" si="26"/>
        <v>464.76</v>
      </c>
      <c r="CE25" s="45"/>
      <c r="CF25" s="44"/>
    </row>
    <row r="26" s="43" customFormat="1" ht="12" customHeight="1" spans="1:84">
      <c r="A26" s="94" t="s">
        <v>121</v>
      </c>
      <c r="B26" s="95">
        <v>1247764</v>
      </c>
      <c r="C26" s="96">
        <f t="shared" si="54"/>
        <v>0.0742</v>
      </c>
      <c r="D26" s="97">
        <f t="shared" si="55"/>
        <v>15.21</v>
      </c>
      <c r="E26" s="98">
        <v>1362</v>
      </c>
      <c r="F26" s="99">
        <v>46180</v>
      </c>
      <c r="G26" s="100">
        <f t="shared" si="45"/>
        <v>0.0526</v>
      </c>
      <c r="H26" s="101">
        <f t="shared" si="48"/>
        <v>151.07</v>
      </c>
      <c r="I26" s="115">
        <v>18</v>
      </c>
      <c r="J26" s="115"/>
      <c r="K26" s="115"/>
      <c r="L26" s="115">
        <v>1027</v>
      </c>
      <c r="M26" s="116">
        <f t="shared" si="10"/>
        <v>0.0755</v>
      </c>
      <c r="N26" s="101">
        <f t="shared" si="49"/>
        <v>53.12</v>
      </c>
      <c r="O26" s="101"/>
      <c r="P26" s="101">
        <f t="shared" si="56"/>
        <v>53.12</v>
      </c>
      <c r="Q26" s="121">
        <v>5515</v>
      </c>
      <c r="R26" s="122">
        <v>7560</v>
      </c>
      <c r="S26" s="123">
        <f t="shared" si="40"/>
        <v>0.0648</v>
      </c>
      <c r="T26" s="123">
        <f t="shared" si="57"/>
        <v>0.0648</v>
      </c>
      <c r="U26" s="116">
        <f t="shared" si="41"/>
        <v>0.0802</v>
      </c>
      <c r="V26" s="101">
        <f t="shared" si="58"/>
        <v>106.62</v>
      </c>
      <c r="W26" s="115">
        <v>270</v>
      </c>
      <c r="X26" s="125"/>
      <c r="Y26" s="125"/>
      <c r="Z26" s="82"/>
      <c r="AA26" s="82"/>
      <c r="AB26" s="82"/>
      <c r="AC26" s="82"/>
      <c r="AD26" s="142">
        <f t="shared" si="50"/>
        <v>0.0111</v>
      </c>
      <c r="AE26" s="84">
        <f t="shared" si="59"/>
        <v>3.32</v>
      </c>
      <c r="AF26" s="98">
        <v>2</v>
      </c>
      <c r="AG26" s="98">
        <v>129</v>
      </c>
      <c r="AH26" s="98">
        <v>250</v>
      </c>
      <c r="AI26" s="98">
        <v>150</v>
      </c>
      <c r="AJ26" s="98">
        <v>1</v>
      </c>
      <c r="AK26" s="98">
        <v>2</v>
      </c>
      <c r="AL26" s="98">
        <v>0</v>
      </c>
      <c r="AM26" s="98">
        <v>0</v>
      </c>
      <c r="AN26" s="147">
        <v>0.0381</v>
      </c>
      <c r="AO26" s="97">
        <f t="shared" si="60"/>
        <v>7.25</v>
      </c>
      <c r="AP26" s="155">
        <v>135</v>
      </c>
      <c r="AQ26" s="156">
        <v>1791</v>
      </c>
      <c r="AR26" s="96">
        <f t="shared" si="42"/>
        <v>0.162107487408194</v>
      </c>
      <c r="AS26" s="97">
        <f t="shared" si="43"/>
        <v>60.6</v>
      </c>
      <c r="AT26" s="157">
        <v>21823</v>
      </c>
      <c r="AU26" s="157">
        <v>412</v>
      </c>
      <c r="AV26" s="157">
        <v>128</v>
      </c>
      <c r="AW26" s="157">
        <v>15</v>
      </c>
      <c r="AX26" s="157">
        <v>1</v>
      </c>
      <c r="AY26" s="96">
        <f t="shared" si="46"/>
        <v>0.0682249744349759</v>
      </c>
      <c r="AZ26" s="97">
        <f t="shared" si="51"/>
        <v>92.72</v>
      </c>
      <c r="BA26" s="82">
        <v>1</v>
      </c>
      <c r="BB26" s="82">
        <v>1</v>
      </c>
      <c r="BC26" s="82"/>
      <c r="BD26" s="82">
        <v>6</v>
      </c>
      <c r="BE26" s="82">
        <v>1</v>
      </c>
      <c r="BF26" s="82"/>
      <c r="BG26" s="82">
        <v>4</v>
      </c>
      <c r="BH26" s="131">
        <f t="shared" si="61"/>
        <v>0.0525</v>
      </c>
      <c r="BI26" s="97">
        <f t="shared" si="62"/>
        <v>41.61</v>
      </c>
      <c r="BJ26" s="98">
        <v>2000</v>
      </c>
      <c r="BK26" s="99">
        <v>1000</v>
      </c>
      <c r="BL26" s="116">
        <f t="shared" si="63"/>
        <v>0.0676</v>
      </c>
      <c r="BM26" s="186">
        <f t="shared" si="64"/>
        <v>8.45</v>
      </c>
      <c r="BN26" s="187"/>
      <c r="BO26" s="186"/>
      <c r="BP26" s="186">
        <f t="shared" si="65"/>
        <v>50.06</v>
      </c>
      <c r="BQ26" s="98">
        <v>164</v>
      </c>
      <c r="BR26" s="116">
        <f t="shared" si="44"/>
        <v>0.0425421530479896</v>
      </c>
      <c r="BS26" s="188">
        <f t="shared" si="52"/>
        <v>27.06</v>
      </c>
      <c r="BT26" s="189">
        <v>4</v>
      </c>
      <c r="BU26" s="189"/>
      <c r="BV26" s="189">
        <v>6</v>
      </c>
      <c r="BW26" s="116">
        <f t="shared" si="47"/>
        <v>0.0495886996260906</v>
      </c>
      <c r="BX26" s="188">
        <f t="shared" si="53"/>
        <v>4.76</v>
      </c>
      <c r="BY26" s="195"/>
      <c r="BZ26" s="196"/>
      <c r="CA26" s="188"/>
      <c r="CB26" s="101"/>
      <c r="CC26" s="188">
        <v>22</v>
      </c>
      <c r="CD26" s="208">
        <f t="shared" si="26"/>
        <v>593.79</v>
      </c>
      <c r="CE26" s="45"/>
      <c r="CF26" s="44"/>
    </row>
    <row r="27" s="43" customFormat="1" ht="12" customHeight="1" spans="1:84">
      <c r="A27" s="94" t="s">
        <v>122</v>
      </c>
      <c r="B27" s="95">
        <v>1110619</v>
      </c>
      <c r="C27" s="96">
        <f t="shared" si="54"/>
        <v>0.0661</v>
      </c>
      <c r="D27" s="97">
        <f t="shared" si="55"/>
        <v>13.55</v>
      </c>
      <c r="E27" s="98">
        <v>1437</v>
      </c>
      <c r="F27" s="99">
        <v>42828</v>
      </c>
      <c r="G27" s="100">
        <f t="shared" si="45"/>
        <v>0.0518</v>
      </c>
      <c r="H27" s="101">
        <f t="shared" si="48"/>
        <v>148.77</v>
      </c>
      <c r="I27" s="115">
        <v>21</v>
      </c>
      <c r="J27" s="115"/>
      <c r="K27" s="115">
        <v>1</v>
      </c>
      <c r="L27" s="115">
        <v>1131</v>
      </c>
      <c r="M27" s="116">
        <f t="shared" si="10"/>
        <v>0.095</v>
      </c>
      <c r="N27" s="101">
        <f t="shared" si="49"/>
        <v>66.84</v>
      </c>
      <c r="O27" s="101"/>
      <c r="P27" s="101">
        <f t="shared" si="56"/>
        <v>66.84</v>
      </c>
      <c r="Q27" s="121">
        <v>3499</v>
      </c>
      <c r="R27" s="122">
        <v>3740</v>
      </c>
      <c r="S27" s="123">
        <f t="shared" si="40"/>
        <v>0.0324</v>
      </c>
      <c r="T27" s="123">
        <f t="shared" si="57"/>
        <v>0.0324</v>
      </c>
      <c r="U27" s="116">
        <f t="shared" si="41"/>
        <v>0.0401</v>
      </c>
      <c r="V27" s="101">
        <f t="shared" si="58"/>
        <v>53.31</v>
      </c>
      <c r="W27" s="115">
        <v>150</v>
      </c>
      <c r="X27" s="125"/>
      <c r="Y27" s="125"/>
      <c r="Z27" s="82"/>
      <c r="AA27" s="82"/>
      <c r="AB27" s="82"/>
      <c r="AC27" s="82"/>
      <c r="AD27" s="142">
        <f t="shared" si="50"/>
        <v>0.0062</v>
      </c>
      <c r="AE27" s="84">
        <f t="shared" si="59"/>
        <v>1.86</v>
      </c>
      <c r="AF27" s="98">
        <v>3</v>
      </c>
      <c r="AG27" s="98">
        <v>127</v>
      </c>
      <c r="AH27" s="98">
        <v>250</v>
      </c>
      <c r="AI27" s="98">
        <v>100</v>
      </c>
      <c r="AJ27" s="98">
        <v>1</v>
      </c>
      <c r="AK27" s="98">
        <v>2</v>
      </c>
      <c r="AL27" s="98">
        <v>1</v>
      </c>
      <c r="AM27" s="98">
        <v>1</v>
      </c>
      <c r="AN27" s="147">
        <v>0.1707</v>
      </c>
      <c r="AO27" s="97">
        <f t="shared" si="60"/>
        <v>32.5</v>
      </c>
      <c r="AP27" s="155">
        <v>81</v>
      </c>
      <c r="AQ27" s="156">
        <v>1677</v>
      </c>
      <c r="AR27" s="96">
        <f t="shared" si="42"/>
        <v>0.0987309601419728</v>
      </c>
      <c r="AS27" s="97">
        <f t="shared" si="43"/>
        <v>36.91</v>
      </c>
      <c r="AT27" s="157">
        <v>21510</v>
      </c>
      <c r="AU27" s="157">
        <v>532</v>
      </c>
      <c r="AV27" s="157">
        <v>180</v>
      </c>
      <c r="AW27" s="157">
        <v>15</v>
      </c>
      <c r="AX27" s="157">
        <v>1</v>
      </c>
      <c r="AY27" s="96">
        <f t="shared" si="46"/>
        <v>0.0764135679881437</v>
      </c>
      <c r="AZ27" s="97">
        <f t="shared" si="51"/>
        <v>103.85</v>
      </c>
      <c r="BA27" s="82">
        <v>2</v>
      </c>
      <c r="BB27" s="82"/>
      <c r="BC27" s="82"/>
      <c r="BD27" s="82">
        <v>6</v>
      </c>
      <c r="BE27" s="82"/>
      <c r="BF27" s="82"/>
      <c r="BG27" s="82">
        <v>2</v>
      </c>
      <c r="BH27" s="131">
        <f t="shared" si="61"/>
        <v>0.0515</v>
      </c>
      <c r="BI27" s="97">
        <f t="shared" si="62"/>
        <v>40.82</v>
      </c>
      <c r="BJ27" s="98">
        <v>500</v>
      </c>
      <c r="BK27" s="99"/>
      <c r="BL27" s="116">
        <f t="shared" si="63"/>
        <v>0.0118</v>
      </c>
      <c r="BM27" s="186">
        <f t="shared" si="64"/>
        <v>1.48</v>
      </c>
      <c r="BN27" s="187"/>
      <c r="BO27" s="186"/>
      <c r="BP27" s="186">
        <f t="shared" si="65"/>
        <v>42.3</v>
      </c>
      <c r="BQ27" s="98">
        <v>181</v>
      </c>
      <c r="BR27" s="116">
        <f t="shared" si="44"/>
        <v>0.0469520103761349</v>
      </c>
      <c r="BS27" s="188">
        <f t="shared" si="52"/>
        <v>29.86</v>
      </c>
      <c r="BT27" s="189">
        <v>2</v>
      </c>
      <c r="BU27" s="189"/>
      <c r="BV27" s="189">
        <v>3</v>
      </c>
      <c r="BW27" s="116">
        <f t="shared" si="47"/>
        <v>0.0247943498130453</v>
      </c>
      <c r="BX27" s="188">
        <f t="shared" si="53"/>
        <v>2.38</v>
      </c>
      <c r="BY27" s="195"/>
      <c r="BZ27" s="196"/>
      <c r="CA27" s="188"/>
      <c r="CB27" s="101">
        <v>10</v>
      </c>
      <c r="CC27" s="84">
        <v>0</v>
      </c>
      <c r="CD27" s="208">
        <f t="shared" si="26"/>
        <v>542.13</v>
      </c>
      <c r="CE27" s="45"/>
      <c r="CF27" s="44"/>
    </row>
    <row r="28" s="43" customFormat="1" ht="12" customHeight="1" spans="1:84">
      <c r="A28" s="94" t="s">
        <v>123</v>
      </c>
      <c r="B28" s="95">
        <v>561511</v>
      </c>
      <c r="C28" s="96">
        <f t="shared" si="54"/>
        <v>0.0334</v>
      </c>
      <c r="D28" s="97">
        <f t="shared" si="55"/>
        <v>6.85</v>
      </c>
      <c r="E28" s="98">
        <v>868</v>
      </c>
      <c r="F28" s="99">
        <v>26056</v>
      </c>
      <c r="G28" s="100">
        <f t="shared" si="45"/>
        <v>0.0314</v>
      </c>
      <c r="H28" s="101">
        <f t="shared" si="48"/>
        <v>90.18</v>
      </c>
      <c r="I28" s="115">
        <v>5</v>
      </c>
      <c r="J28" s="115"/>
      <c r="K28" s="115"/>
      <c r="L28" s="115">
        <v>714</v>
      </c>
      <c r="M28" s="116">
        <f t="shared" si="10"/>
        <v>0.0278</v>
      </c>
      <c r="N28" s="101">
        <f t="shared" si="49"/>
        <v>19.56</v>
      </c>
      <c r="O28" s="101"/>
      <c r="P28" s="101">
        <f t="shared" si="56"/>
        <v>19.56</v>
      </c>
      <c r="Q28" s="121">
        <v>2988</v>
      </c>
      <c r="R28" s="122">
        <v>3310</v>
      </c>
      <c r="S28" s="123">
        <f t="shared" si="40"/>
        <v>0.0286</v>
      </c>
      <c r="T28" s="123">
        <f t="shared" si="57"/>
        <v>0.0286</v>
      </c>
      <c r="U28" s="116">
        <f t="shared" si="41"/>
        <v>0.0354</v>
      </c>
      <c r="V28" s="101">
        <f t="shared" si="58"/>
        <v>47.06</v>
      </c>
      <c r="W28" s="115">
        <v>240</v>
      </c>
      <c r="X28" s="125"/>
      <c r="Y28" s="125"/>
      <c r="Z28" s="82"/>
      <c r="AA28" s="82">
        <v>4</v>
      </c>
      <c r="AB28" s="82"/>
      <c r="AC28" s="82"/>
      <c r="AD28" s="142">
        <f t="shared" si="50"/>
        <v>0.0429</v>
      </c>
      <c r="AE28" s="84">
        <f t="shared" si="59"/>
        <v>12.84</v>
      </c>
      <c r="AF28" s="98">
        <v>2</v>
      </c>
      <c r="AG28" s="98">
        <v>67</v>
      </c>
      <c r="AH28" s="98">
        <v>0</v>
      </c>
      <c r="AI28" s="98">
        <v>100</v>
      </c>
      <c r="AJ28" s="98">
        <v>1</v>
      </c>
      <c r="AK28" s="98">
        <v>2</v>
      </c>
      <c r="AL28" s="98">
        <v>0</v>
      </c>
      <c r="AM28" s="98">
        <v>0</v>
      </c>
      <c r="AN28" s="147">
        <v>0</v>
      </c>
      <c r="AO28" s="97">
        <f t="shared" si="60"/>
        <v>0</v>
      </c>
      <c r="AP28" s="155">
        <v>21</v>
      </c>
      <c r="AQ28" s="156">
        <v>1017</v>
      </c>
      <c r="AR28" s="96">
        <f t="shared" si="42"/>
        <v>0.0270142630050416</v>
      </c>
      <c r="AS28" s="97">
        <f t="shared" si="43"/>
        <v>10.1</v>
      </c>
      <c r="AT28" s="157">
        <v>11741</v>
      </c>
      <c r="AU28" s="157">
        <v>372</v>
      </c>
      <c r="AV28" s="157">
        <v>104</v>
      </c>
      <c r="AW28" s="157">
        <v>15</v>
      </c>
      <c r="AX28" s="157">
        <v>1</v>
      </c>
      <c r="AY28" s="96">
        <f t="shared" si="46"/>
        <v>0.0582060029640608</v>
      </c>
      <c r="AZ28" s="97">
        <f t="shared" si="51"/>
        <v>79.1</v>
      </c>
      <c r="BA28" s="82">
        <v>1</v>
      </c>
      <c r="BB28" s="82">
        <v>1</v>
      </c>
      <c r="BC28" s="82"/>
      <c r="BD28" s="82">
        <v>6</v>
      </c>
      <c r="BE28" s="82"/>
      <c r="BF28" s="82"/>
      <c r="BG28" s="82">
        <v>2</v>
      </c>
      <c r="BH28" s="131">
        <f t="shared" si="61"/>
        <v>0.037</v>
      </c>
      <c r="BI28" s="97">
        <f t="shared" si="62"/>
        <v>29.33</v>
      </c>
      <c r="BJ28" s="98">
        <v>5000</v>
      </c>
      <c r="BK28" s="99"/>
      <c r="BL28" s="116">
        <f t="shared" si="63"/>
        <v>0.1182</v>
      </c>
      <c r="BM28" s="186">
        <f t="shared" si="64"/>
        <v>14.78</v>
      </c>
      <c r="BN28" s="187"/>
      <c r="BO28" s="186"/>
      <c r="BP28" s="186">
        <f t="shared" si="65"/>
        <v>44.11</v>
      </c>
      <c r="BQ28" s="98">
        <v>135</v>
      </c>
      <c r="BR28" s="116">
        <f t="shared" si="44"/>
        <v>0.0350194552529183</v>
      </c>
      <c r="BS28" s="188">
        <f t="shared" si="52"/>
        <v>22.27</v>
      </c>
      <c r="BT28" s="189">
        <v>3</v>
      </c>
      <c r="BU28" s="189">
        <v>1</v>
      </c>
      <c r="BV28" s="189">
        <v>4</v>
      </c>
      <c r="BW28" s="116">
        <f t="shared" si="47"/>
        <v>0.0407164289341273</v>
      </c>
      <c r="BX28" s="188">
        <f t="shared" si="53"/>
        <v>3.91</v>
      </c>
      <c r="BY28" s="195">
        <v>1</v>
      </c>
      <c r="BZ28" s="196">
        <f>BY28/BY8</f>
        <v>0.142857142857143</v>
      </c>
      <c r="CA28" s="188">
        <f>+BY28*BZ28*21</f>
        <v>3</v>
      </c>
      <c r="CB28" s="101"/>
      <c r="CC28" s="84">
        <v>0</v>
      </c>
      <c r="CD28" s="208">
        <f t="shared" si="26"/>
        <v>338.98</v>
      </c>
      <c r="CE28" s="45"/>
      <c r="CF28" s="44"/>
    </row>
    <row r="29" s="43" customFormat="1" ht="12" customHeight="1" spans="1:84">
      <c r="A29" s="94" t="s">
        <v>124</v>
      </c>
      <c r="B29" s="95">
        <v>705845</v>
      </c>
      <c r="C29" s="96">
        <f t="shared" si="54"/>
        <v>0.042</v>
      </c>
      <c r="D29" s="97">
        <f t="shared" si="55"/>
        <v>8.61</v>
      </c>
      <c r="E29" s="98">
        <v>2128</v>
      </c>
      <c r="F29" s="99">
        <v>35428</v>
      </c>
      <c r="G29" s="100">
        <f t="shared" si="45"/>
        <v>0.0592</v>
      </c>
      <c r="H29" s="101">
        <f t="shared" si="48"/>
        <v>170.02</v>
      </c>
      <c r="I29" s="115">
        <v>11</v>
      </c>
      <c r="J29" s="115"/>
      <c r="K29" s="115"/>
      <c r="L29" s="115">
        <v>802</v>
      </c>
      <c r="M29" s="116">
        <f t="shared" si="10"/>
        <v>0.0489</v>
      </c>
      <c r="N29" s="101">
        <f t="shared" si="49"/>
        <v>34.4</v>
      </c>
      <c r="O29" s="101"/>
      <c r="P29" s="101">
        <f t="shared" si="56"/>
        <v>34.4</v>
      </c>
      <c r="Q29" s="121">
        <v>4319</v>
      </c>
      <c r="R29" s="122">
        <v>8130</v>
      </c>
      <c r="S29" s="123">
        <f t="shared" si="40"/>
        <v>0.069</v>
      </c>
      <c r="T29" s="123">
        <f t="shared" si="57"/>
        <v>0.069</v>
      </c>
      <c r="U29" s="116">
        <f t="shared" si="41"/>
        <v>0.0854</v>
      </c>
      <c r="V29" s="101">
        <f t="shared" si="58"/>
        <v>113.53</v>
      </c>
      <c r="W29" s="115">
        <v>240</v>
      </c>
      <c r="X29" s="125"/>
      <c r="Y29" s="125"/>
      <c r="Z29" s="82"/>
      <c r="AA29" s="82">
        <v>6</v>
      </c>
      <c r="AB29" s="82"/>
      <c r="AC29" s="82"/>
      <c r="AD29" s="142">
        <f t="shared" si="50"/>
        <v>0.0594</v>
      </c>
      <c r="AE29" s="84">
        <f t="shared" si="59"/>
        <v>17.77</v>
      </c>
      <c r="AF29" s="98">
        <v>5</v>
      </c>
      <c r="AG29" s="98">
        <v>182</v>
      </c>
      <c r="AH29" s="98">
        <v>250</v>
      </c>
      <c r="AI29" s="98">
        <v>100</v>
      </c>
      <c r="AJ29" s="98">
        <v>1</v>
      </c>
      <c r="AK29" s="98">
        <v>2</v>
      </c>
      <c r="AL29" s="98">
        <v>0</v>
      </c>
      <c r="AM29" s="98">
        <v>1</v>
      </c>
      <c r="AN29" s="147">
        <v>0.0708</v>
      </c>
      <c r="AO29" s="97">
        <f t="shared" si="60"/>
        <v>13.48</v>
      </c>
      <c r="AP29" s="155">
        <v>14</v>
      </c>
      <c r="AQ29" s="156">
        <v>1324</v>
      </c>
      <c r="AR29" s="96">
        <f t="shared" si="42"/>
        <v>0.0195821151313467</v>
      </c>
      <c r="AS29" s="97">
        <f t="shared" si="43"/>
        <v>7.32</v>
      </c>
      <c r="AT29" s="157">
        <v>15813</v>
      </c>
      <c r="AU29" s="157">
        <v>460</v>
      </c>
      <c r="AV29" s="157">
        <v>146</v>
      </c>
      <c r="AW29" s="157">
        <v>15</v>
      </c>
      <c r="AX29" s="157">
        <v>1</v>
      </c>
      <c r="AY29" s="96">
        <f t="shared" si="46"/>
        <v>0.0674138517969618</v>
      </c>
      <c r="AZ29" s="97">
        <f t="shared" si="51"/>
        <v>91.62</v>
      </c>
      <c r="BA29" s="82">
        <v>1</v>
      </c>
      <c r="BB29" s="82">
        <v>1</v>
      </c>
      <c r="BC29" s="82"/>
      <c r="BD29" s="82">
        <v>6</v>
      </c>
      <c r="BE29" s="82">
        <v>1</v>
      </c>
      <c r="BF29" s="82"/>
      <c r="BG29" s="82">
        <v>3</v>
      </c>
      <c r="BH29" s="131">
        <f t="shared" si="61"/>
        <v>0.0487</v>
      </c>
      <c r="BI29" s="97">
        <f t="shared" si="62"/>
        <v>38.6</v>
      </c>
      <c r="BJ29" s="98">
        <v>1000</v>
      </c>
      <c r="BK29" s="99"/>
      <c r="BL29" s="116">
        <f t="shared" si="63"/>
        <v>0.0236</v>
      </c>
      <c r="BM29" s="186">
        <f t="shared" si="64"/>
        <v>2.95</v>
      </c>
      <c r="BN29" s="187"/>
      <c r="BO29" s="186"/>
      <c r="BP29" s="186">
        <f t="shared" si="65"/>
        <v>41.55</v>
      </c>
      <c r="BQ29" s="98">
        <v>181</v>
      </c>
      <c r="BR29" s="116">
        <f t="shared" si="44"/>
        <v>0.0469520103761349</v>
      </c>
      <c r="BS29" s="188">
        <f t="shared" si="52"/>
        <v>29.86</v>
      </c>
      <c r="BT29" s="189">
        <v>4</v>
      </c>
      <c r="BU29" s="189"/>
      <c r="BV29" s="189">
        <v>5</v>
      </c>
      <c r="BW29" s="116">
        <f t="shared" si="47"/>
        <v>0.0477496191663205</v>
      </c>
      <c r="BX29" s="188">
        <f t="shared" si="53"/>
        <v>4.58</v>
      </c>
      <c r="BY29" s="195">
        <v>1</v>
      </c>
      <c r="BZ29" s="196">
        <f>BY29/BY8</f>
        <v>0.142857142857143</v>
      </c>
      <c r="CA29" s="188">
        <f>+BY29*BZ29*21</f>
        <v>3</v>
      </c>
      <c r="CB29" s="101"/>
      <c r="CC29" s="84">
        <v>3</v>
      </c>
      <c r="CD29" s="208">
        <f t="shared" si="26"/>
        <v>538.74</v>
      </c>
      <c r="CE29" s="45"/>
      <c r="CF29" s="44"/>
    </row>
    <row r="30" s="43" customFormat="1" ht="12" customHeight="1" spans="1:84">
      <c r="A30" s="94" t="s">
        <v>125</v>
      </c>
      <c r="B30" s="95">
        <v>469492</v>
      </c>
      <c r="C30" s="96">
        <f t="shared" si="54"/>
        <v>0.0279</v>
      </c>
      <c r="D30" s="97">
        <f t="shared" si="55"/>
        <v>5.72</v>
      </c>
      <c r="E30" s="98">
        <v>445</v>
      </c>
      <c r="F30" s="99">
        <v>19930</v>
      </c>
      <c r="G30" s="100">
        <f t="shared" si="45"/>
        <v>0.0202</v>
      </c>
      <c r="H30" s="101">
        <f t="shared" si="48"/>
        <v>58.01</v>
      </c>
      <c r="I30" s="115">
        <v>5</v>
      </c>
      <c r="J30" s="115"/>
      <c r="K30" s="115"/>
      <c r="L30" s="115">
        <v>255</v>
      </c>
      <c r="M30" s="116">
        <f t="shared" si="10"/>
        <v>0.0205</v>
      </c>
      <c r="N30" s="101">
        <f t="shared" si="49"/>
        <v>14.42</v>
      </c>
      <c r="O30" s="101">
        <v>100</v>
      </c>
      <c r="P30" s="101">
        <f t="shared" si="56"/>
        <v>114.42</v>
      </c>
      <c r="Q30" s="121">
        <v>2760</v>
      </c>
      <c r="R30" s="122">
        <v>4230</v>
      </c>
      <c r="S30" s="123">
        <f t="shared" si="40"/>
        <v>0.0361</v>
      </c>
      <c r="T30" s="123">
        <f t="shared" si="57"/>
        <v>0.0361</v>
      </c>
      <c r="U30" s="116">
        <f t="shared" si="41"/>
        <v>0.0447</v>
      </c>
      <c r="V30" s="101">
        <f t="shared" si="58"/>
        <v>59.43</v>
      </c>
      <c r="W30" s="115">
        <v>90</v>
      </c>
      <c r="X30" s="125"/>
      <c r="Y30" s="125"/>
      <c r="Z30" s="82"/>
      <c r="AA30" s="82"/>
      <c r="AB30" s="82"/>
      <c r="AC30" s="82"/>
      <c r="AD30" s="142">
        <f t="shared" si="50"/>
        <v>0.0037</v>
      </c>
      <c r="AE30" s="84">
        <f t="shared" si="59"/>
        <v>1.11</v>
      </c>
      <c r="AF30" s="98">
        <v>2</v>
      </c>
      <c r="AG30" s="98">
        <v>29</v>
      </c>
      <c r="AH30" s="98">
        <v>0</v>
      </c>
      <c r="AI30" s="98">
        <v>100</v>
      </c>
      <c r="AJ30" s="98">
        <v>1</v>
      </c>
      <c r="AK30" s="98">
        <v>1</v>
      </c>
      <c r="AL30" s="98">
        <v>0</v>
      </c>
      <c r="AM30" s="98">
        <v>0</v>
      </c>
      <c r="AN30" s="147">
        <v>0.018</v>
      </c>
      <c r="AO30" s="97">
        <f t="shared" si="60"/>
        <v>3.43</v>
      </c>
      <c r="AP30" s="155">
        <v>4</v>
      </c>
      <c r="AQ30" s="156">
        <v>879</v>
      </c>
      <c r="AR30" s="96">
        <f t="shared" si="42"/>
        <v>0.0068138165406066</v>
      </c>
      <c r="AS30" s="97">
        <f t="shared" si="43"/>
        <v>2.55</v>
      </c>
      <c r="AT30" s="157">
        <v>7843</v>
      </c>
      <c r="AU30" s="157">
        <v>316</v>
      </c>
      <c r="AV30" s="157">
        <v>66</v>
      </c>
      <c r="AW30" s="157"/>
      <c r="AX30" s="157">
        <v>1</v>
      </c>
      <c r="AY30" s="96">
        <f t="shared" si="46"/>
        <v>0.0335033886624676</v>
      </c>
      <c r="AZ30" s="97">
        <f t="shared" si="51"/>
        <v>45.53</v>
      </c>
      <c r="BA30" s="82">
        <v>1</v>
      </c>
      <c r="BB30" s="82"/>
      <c r="BC30" s="82"/>
      <c r="BD30" s="82">
        <v>6</v>
      </c>
      <c r="BE30" s="82"/>
      <c r="BF30" s="82"/>
      <c r="BG30" s="82">
        <v>2</v>
      </c>
      <c r="BH30" s="131">
        <f t="shared" si="61"/>
        <v>0.035</v>
      </c>
      <c r="BI30" s="97">
        <f t="shared" si="62"/>
        <v>27.74</v>
      </c>
      <c r="BJ30" s="98">
        <v>2000</v>
      </c>
      <c r="BK30" s="99"/>
      <c r="BL30" s="116">
        <f t="shared" si="63"/>
        <v>0.0473</v>
      </c>
      <c r="BM30" s="186">
        <f t="shared" si="64"/>
        <v>5.91</v>
      </c>
      <c r="BN30" s="187"/>
      <c r="BO30" s="186"/>
      <c r="BP30" s="186">
        <f t="shared" si="65"/>
        <v>33.65</v>
      </c>
      <c r="BQ30" s="98">
        <v>88</v>
      </c>
      <c r="BR30" s="116">
        <f t="shared" si="44"/>
        <v>0.0228274967574578</v>
      </c>
      <c r="BS30" s="188">
        <f t="shared" si="52"/>
        <v>14.52</v>
      </c>
      <c r="BT30" s="189">
        <v>0</v>
      </c>
      <c r="BU30" s="189"/>
      <c r="BV30" s="189">
        <v>2</v>
      </c>
      <c r="BW30" s="116">
        <f t="shared" si="47"/>
        <v>0.00367816091954023</v>
      </c>
      <c r="BX30" s="188">
        <f t="shared" si="53"/>
        <v>0.35</v>
      </c>
      <c r="BY30" s="195"/>
      <c r="BZ30" s="196"/>
      <c r="CA30" s="188"/>
      <c r="CB30" s="101">
        <v>10</v>
      </c>
      <c r="CC30" s="84">
        <v>0</v>
      </c>
      <c r="CD30" s="208">
        <f t="shared" si="26"/>
        <v>348.72</v>
      </c>
      <c r="CE30" s="45"/>
      <c r="CF30" s="44"/>
    </row>
    <row r="31" s="43" customFormat="1" ht="12" customHeight="1" spans="1:84">
      <c r="A31" s="94" t="s">
        <v>126</v>
      </c>
      <c r="B31" s="95">
        <v>608843</v>
      </c>
      <c r="C31" s="96">
        <f t="shared" si="54"/>
        <v>0.0362</v>
      </c>
      <c r="D31" s="97">
        <f t="shared" si="55"/>
        <v>7.42</v>
      </c>
      <c r="E31" s="98">
        <v>715</v>
      </c>
      <c r="F31" s="99">
        <v>22832</v>
      </c>
      <c r="G31" s="100">
        <f t="shared" si="45"/>
        <v>0.0267</v>
      </c>
      <c r="H31" s="101">
        <f t="shared" si="48"/>
        <v>76.68</v>
      </c>
      <c r="I31" s="115">
        <v>0</v>
      </c>
      <c r="J31" s="115"/>
      <c r="K31" s="115"/>
      <c r="L31" s="115">
        <v>490</v>
      </c>
      <c r="M31" s="116">
        <f t="shared" si="10"/>
        <v>0.0078</v>
      </c>
      <c r="N31" s="101">
        <f t="shared" si="49"/>
        <v>5.49</v>
      </c>
      <c r="O31" s="101"/>
      <c r="P31" s="101">
        <f t="shared" si="56"/>
        <v>5.49</v>
      </c>
      <c r="Q31" s="121">
        <v>3141</v>
      </c>
      <c r="R31" s="122">
        <v>4560</v>
      </c>
      <c r="S31" s="123">
        <f t="shared" si="40"/>
        <v>0.039</v>
      </c>
      <c r="T31" s="123">
        <f t="shared" si="57"/>
        <v>0.039</v>
      </c>
      <c r="U31" s="116">
        <f t="shared" si="41"/>
        <v>0.0483</v>
      </c>
      <c r="V31" s="101">
        <f t="shared" si="58"/>
        <v>64.21</v>
      </c>
      <c r="W31" s="115">
        <v>150</v>
      </c>
      <c r="X31" s="125"/>
      <c r="Y31" s="125"/>
      <c r="Z31" s="82"/>
      <c r="AA31" s="82"/>
      <c r="AB31" s="82"/>
      <c r="AC31" s="82"/>
      <c r="AD31" s="142">
        <f t="shared" si="50"/>
        <v>0.0062</v>
      </c>
      <c r="AE31" s="84">
        <f t="shared" si="59"/>
        <v>1.86</v>
      </c>
      <c r="AF31" s="98">
        <v>2</v>
      </c>
      <c r="AG31" s="98">
        <v>95</v>
      </c>
      <c r="AH31" s="98">
        <v>500</v>
      </c>
      <c r="AI31" s="98">
        <v>100</v>
      </c>
      <c r="AJ31" s="98">
        <v>1</v>
      </c>
      <c r="AK31" s="98">
        <v>3</v>
      </c>
      <c r="AL31" s="98">
        <v>0</v>
      </c>
      <c r="AM31" s="98">
        <v>0</v>
      </c>
      <c r="AN31" s="147">
        <v>0.0509</v>
      </c>
      <c r="AO31" s="97">
        <f t="shared" si="60"/>
        <v>9.69</v>
      </c>
      <c r="AP31" s="155">
        <v>15</v>
      </c>
      <c r="AQ31" s="156">
        <v>995</v>
      </c>
      <c r="AR31" s="96">
        <f t="shared" si="42"/>
        <v>0.0199497058057417</v>
      </c>
      <c r="AS31" s="97">
        <f t="shared" si="43"/>
        <v>7.46</v>
      </c>
      <c r="AT31" s="157">
        <v>10338</v>
      </c>
      <c r="AU31" s="157">
        <v>308</v>
      </c>
      <c r="AV31" s="157">
        <v>64</v>
      </c>
      <c r="AW31" s="157"/>
      <c r="AX31" s="157">
        <v>1</v>
      </c>
      <c r="AY31" s="96">
        <f t="shared" si="46"/>
        <v>0.0347099058910708</v>
      </c>
      <c r="AZ31" s="97">
        <f t="shared" si="51"/>
        <v>47.17</v>
      </c>
      <c r="BA31" s="82">
        <v>1</v>
      </c>
      <c r="BB31" s="82">
        <v>1</v>
      </c>
      <c r="BC31" s="82"/>
      <c r="BD31" s="82">
        <v>6</v>
      </c>
      <c r="BE31" s="82"/>
      <c r="BF31" s="82"/>
      <c r="BG31" s="82">
        <v>2</v>
      </c>
      <c r="BH31" s="131">
        <f t="shared" si="61"/>
        <v>0.037</v>
      </c>
      <c r="BI31" s="97">
        <f t="shared" si="62"/>
        <v>29.33</v>
      </c>
      <c r="BJ31" s="98">
        <v>500</v>
      </c>
      <c r="BK31" s="99"/>
      <c r="BL31" s="116">
        <f t="shared" si="63"/>
        <v>0.0118</v>
      </c>
      <c r="BM31" s="186">
        <f t="shared" si="64"/>
        <v>1.48</v>
      </c>
      <c r="BN31" s="187"/>
      <c r="BO31" s="186"/>
      <c r="BP31" s="186">
        <f t="shared" si="65"/>
        <v>30.81</v>
      </c>
      <c r="BQ31" s="98">
        <v>72</v>
      </c>
      <c r="BR31" s="116">
        <f t="shared" si="44"/>
        <v>0.0186770428015564</v>
      </c>
      <c r="BS31" s="188">
        <f t="shared" si="52"/>
        <v>11.88</v>
      </c>
      <c r="BT31" s="189">
        <v>1</v>
      </c>
      <c r="BU31" s="189"/>
      <c r="BV31" s="189">
        <v>2</v>
      </c>
      <c r="BW31" s="116">
        <f t="shared" si="47"/>
        <v>0.0133167151364077</v>
      </c>
      <c r="BX31" s="188">
        <f t="shared" si="53"/>
        <v>1.28</v>
      </c>
      <c r="BY31" s="195"/>
      <c r="BZ31" s="196"/>
      <c r="CA31" s="188"/>
      <c r="CB31" s="101"/>
      <c r="CC31" s="188">
        <v>0</v>
      </c>
      <c r="CD31" s="208">
        <f t="shared" si="26"/>
        <v>263.95</v>
      </c>
      <c r="CE31" s="45"/>
      <c r="CF31" s="44"/>
    </row>
    <row r="32" s="43" customFormat="1" ht="12" customHeight="1" spans="1:84">
      <c r="A32" s="94" t="s">
        <v>127</v>
      </c>
      <c r="B32" s="95">
        <v>286216</v>
      </c>
      <c r="C32" s="96">
        <f t="shared" si="54"/>
        <v>0.017</v>
      </c>
      <c r="D32" s="97">
        <f t="shared" si="55"/>
        <v>3.49</v>
      </c>
      <c r="E32" s="98">
        <v>1010</v>
      </c>
      <c r="F32" s="99">
        <v>14844</v>
      </c>
      <c r="G32" s="100">
        <f t="shared" si="45"/>
        <v>0.0268</v>
      </c>
      <c r="H32" s="101">
        <f>ROUND(2832*G32+40*G32,2)+0.04</f>
        <v>77.01</v>
      </c>
      <c r="I32" s="115">
        <v>6</v>
      </c>
      <c r="J32" s="115"/>
      <c r="K32" s="115"/>
      <c r="L32" s="115">
        <v>199</v>
      </c>
      <c r="M32" s="116">
        <f t="shared" si="10"/>
        <v>0.0229</v>
      </c>
      <c r="N32" s="101">
        <f>ROUND(701.4*M32+2.17*M32,2)+0.03</f>
        <v>16.14</v>
      </c>
      <c r="O32" s="101"/>
      <c r="P32" s="101">
        <f t="shared" si="56"/>
        <v>16.14</v>
      </c>
      <c r="Q32" s="121">
        <v>2773</v>
      </c>
      <c r="R32" s="122">
        <v>4670</v>
      </c>
      <c r="S32" s="123">
        <f t="shared" si="40"/>
        <v>0.0398</v>
      </c>
      <c r="T32" s="123">
        <f t="shared" si="57"/>
        <v>0.0398</v>
      </c>
      <c r="U32" s="116">
        <f t="shared" si="41"/>
        <v>0.0493</v>
      </c>
      <c r="V32" s="101">
        <f t="shared" si="58"/>
        <v>65.54</v>
      </c>
      <c r="W32" s="115">
        <v>150</v>
      </c>
      <c r="X32" s="125"/>
      <c r="Y32" s="125"/>
      <c r="Z32" s="82"/>
      <c r="AA32" s="82"/>
      <c r="AB32" s="82"/>
      <c r="AC32" s="82"/>
      <c r="AD32" s="142">
        <f t="shared" si="50"/>
        <v>0.0062</v>
      </c>
      <c r="AE32" s="84">
        <f t="shared" si="59"/>
        <v>1.86</v>
      </c>
      <c r="AF32" s="98">
        <v>2</v>
      </c>
      <c r="AG32" s="98">
        <v>110</v>
      </c>
      <c r="AH32" s="98">
        <v>500</v>
      </c>
      <c r="AI32" s="98">
        <v>100</v>
      </c>
      <c r="AJ32" s="98">
        <v>1</v>
      </c>
      <c r="AK32" s="98">
        <v>1</v>
      </c>
      <c r="AL32" s="98">
        <v>0</v>
      </c>
      <c r="AM32" s="98">
        <v>0</v>
      </c>
      <c r="AN32" s="147">
        <v>0.0447</v>
      </c>
      <c r="AO32" s="97">
        <f>ROUND(188.45*AN32+1.95*AN32,2)+0.28</f>
        <v>8.79</v>
      </c>
      <c r="AP32" s="155">
        <v>3</v>
      </c>
      <c r="AQ32" s="158">
        <v>519</v>
      </c>
      <c r="AR32" s="96">
        <f t="shared" si="42"/>
        <v>0.00476894126582648</v>
      </c>
      <c r="AS32" s="97">
        <f>ROUND(373.8*AR32,2)+0.22</f>
        <v>2</v>
      </c>
      <c r="AT32" s="157">
        <v>7942</v>
      </c>
      <c r="AU32" s="157">
        <v>320</v>
      </c>
      <c r="AV32" s="157">
        <v>70</v>
      </c>
      <c r="AW32" s="157"/>
      <c r="AX32" s="157"/>
      <c r="AY32" s="96">
        <f t="shared" si="46"/>
        <v>0.0192945994812894</v>
      </c>
      <c r="AZ32" s="97">
        <f t="shared" si="51"/>
        <v>26.22</v>
      </c>
      <c r="BA32" s="82">
        <v>1</v>
      </c>
      <c r="BB32" s="82">
        <v>1</v>
      </c>
      <c r="BC32" s="82"/>
      <c r="BD32" s="82">
        <v>6</v>
      </c>
      <c r="BE32" s="82"/>
      <c r="BF32" s="82"/>
      <c r="BG32" s="82">
        <v>3</v>
      </c>
      <c r="BH32" s="131">
        <f t="shared" si="61"/>
        <v>0.0408</v>
      </c>
      <c r="BI32" s="97">
        <f>ROUND(786*BH32+6.6*BH32,2)+0.36</f>
        <v>32.7</v>
      </c>
      <c r="BJ32" s="98">
        <v>1000</v>
      </c>
      <c r="BK32" s="99">
        <v>1000</v>
      </c>
      <c r="BL32" s="116">
        <f t="shared" si="63"/>
        <v>0.0439</v>
      </c>
      <c r="BM32" s="186">
        <f t="shared" si="64"/>
        <v>5.49</v>
      </c>
      <c r="BN32" s="187"/>
      <c r="BO32" s="186"/>
      <c r="BP32" s="186">
        <f t="shared" si="65"/>
        <v>38.19</v>
      </c>
      <c r="BQ32" s="98">
        <v>115</v>
      </c>
      <c r="BR32" s="116">
        <f t="shared" si="44"/>
        <v>0.0298313878080415</v>
      </c>
      <c r="BS32" s="188">
        <f>ROUND(631*BR32+5*BR32,2)+0.18</f>
        <v>19.15</v>
      </c>
      <c r="BT32" s="189">
        <v>2</v>
      </c>
      <c r="BU32" s="189"/>
      <c r="BV32" s="189">
        <v>3</v>
      </c>
      <c r="BW32" s="116">
        <f t="shared" si="47"/>
        <v>0.0247943498130453</v>
      </c>
      <c r="BX32" s="188">
        <f>ROUND(95.48*BW32+0.5*BW32,2)+0.19</f>
        <v>2.57</v>
      </c>
      <c r="BY32" s="195"/>
      <c r="BZ32" s="196"/>
      <c r="CA32" s="188"/>
      <c r="CB32" s="101"/>
      <c r="CC32" s="84">
        <v>0</v>
      </c>
      <c r="CD32" s="208">
        <f t="shared" si="26"/>
        <v>260.96</v>
      </c>
      <c r="CE32" s="45"/>
      <c r="CF32" s="44"/>
    </row>
    <row r="33" s="44" customFormat="1" ht="12" customHeight="1" spans="1:83">
      <c r="A33" s="93" t="s">
        <v>298</v>
      </c>
      <c r="B33" s="103">
        <f t="shared" ref="B33:AG33" si="66">SUM(B34:B68)</f>
        <v>7104994</v>
      </c>
      <c r="C33" s="104">
        <f t="shared" si="66"/>
        <v>0.4223</v>
      </c>
      <c r="D33" s="105">
        <f t="shared" si="66"/>
        <v>86.56</v>
      </c>
      <c r="E33" s="87">
        <f t="shared" si="66"/>
        <v>10559</v>
      </c>
      <c r="F33" s="87">
        <f t="shared" si="66"/>
        <v>344972</v>
      </c>
      <c r="G33" s="106">
        <f t="shared" si="66"/>
        <v>0.3999</v>
      </c>
      <c r="H33" s="106">
        <f t="shared" si="66"/>
        <v>1148.52</v>
      </c>
      <c r="I33" s="87">
        <f t="shared" si="66"/>
        <v>0</v>
      </c>
      <c r="J33" s="87">
        <f t="shared" si="66"/>
        <v>1</v>
      </c>
      <c r="K33" s="87">
        <f t="shared" si="66"/>
        <v>0</v>
      </c>
      <c r="L33" s="87">
        <f t="shared" si="66"/>
        <v>5851</v>
      </c>
      <c r="M33" s="106">
        <f t="shared" si="66"/>
        <v>0.1337</v>
      </c>
      <c r="N33" s="92">
        <f t="shared" si="66"/>
        <v>94.07</v>
      </c>
      <c r="O33" s="92">
        <f t="shared" si="66"/>
        <v>100</v>
      </c>
      <c r="P33" s="92">
        <f t="shared" si="66"/>
        <v>194.07</v>
      </c>
      <c r="Q33" s="126">
        <f t="shared" si="66"/>
        <v>970</v>
      </c>
      <c r="R33" s="127">
        <f t="shared" si="66"/>
        <v>300</v>
      </c>
      <c r="S33" s="106">
        <f t="shared" si="66"/>
        <v>0.0029</v>
      </c>
      <c r="T33" s="106">
        <f t="shared" si="66"/>
        <v>0.0029</v>
      </c>
      <c r="U33" s="106">
        <f t="shared" si="66"/>
        <v>0.0035</v>
      </c>
      <c r="V33" s="89">
        <f t="shared" si="66"/>
        <v>4.65</v>
      </c>
      <c r="W33" s="128">
        <f t="shared" si="66"/>
        <v>0</v>
      </c>
      <c r="X33" s="129">
        <f t="shared" si="66"/>
        <v>4</v>
      </c>
      <c r="Y33" s="129">
        <f t="shared" si="66"/>
        <v>1</v>
      </c>
      <c r="Z33" s="129">
        <f t="shared" si="66"/>
        <v>3</v>
      </c>
      <c r="AA33" s="129">
        <f t="shared" si="66"/>
        <v>15</v>
      </c>
      <c r="AB33" s="129">
        <f t="shared" si="66"/>
        <v>1</v>
      </c>
      <c r="AC33" s="129">
        <f t="shared" si="66"/>
        <v>1</v>
      </c>
      <c r="AD33" s="88">
        <f t="shared" si="66"/>
        <v>0.4629</v>
      </c>
      <c r="AE33" s="92">
        <f t="shared" si="66"/>
        <v>138.48</v>
      </c>
      <c r="AF33" s="129">
        <f t="shared" si="66"/>
        <v>35</v>
      </c>
      <c r="AG33" s="129">
        <f t="shared" si="66"/>
        <v>0</v>
      </c>
      <c r="AH33" s="129">
        <f t="shared" ref="AH33:BM33" si="67">SUM(AH34:AH68)</f>
        <v>500</v>
      </c>
      <c r="AI33" s="129">
        <f t="shared" si="67"/>
        <v>100</v>
      </c>
      <c r="AJ33" s="129">
        <f t="shared" si="67"/>
        <v>0</v>
      </c>
      <c r="AK33" s="129">
        <f t="shared" si="67"/>
        <v>10</v>
      </c>
      <c r="AL33" s="129">
        <f t="shared" si="67"/>
        <v>2</v>
      </c>
      <c r="AM33" s="129">
        <f t="shared" si="67"/>
        <v>0</v>
      </c>
      <c r="AN33" s="148">
        <f t="shared" si="67"/>
        <v>0.3486</v>
      </c>
      <c r="AO33" s="148">
        <f t="shared" si="67"/>
        <v>66.29</v>
      </c>
      <c r="AP33" s="159">
        <f t="shared" si="67"/>
        <v>432</v>
      </c>
      <c r="AQ33" s="159">
        <f t="shared" si="67"/>
        <v>13303</v>
      </c>
      <c r="AR33" s="160">
        <f t="shared" si="67"/>
        <v>0.537176562808101</v>
      </c>
      <c r="AS33" s="161">
        <f t="shared" si="67"/>
        <v>200.79</v>
      </c>
      <c r="AT33" s="162">
        <f t="shared" si="67"/>
        <v>165424</v>
      </c>
      <c r="AU33" s="162">
        <f t="shared" si="67"/>
        <v>2592</v>
      </c>
      <c r="AV33" s="162">
        <f t="shared" si="67"/>
        <v>1296</v>
      </c>
      <c r="AW33" s="162">
        <f t="shared" si="67"/>
        <v>15</v>
      </c>
      <c r="AX33" s="162">
        <f t="shared" si="67"/>
        <v>1</v>
      </c>
      <c r="AY33" s="173">
        <f t="shared" si="67"/>
        <v>0.22346799851797</v>
      </c>
      <c r="AZ33" s="80">
        <f t="shared" si="67"/>
        <v>303.69</v>
      </c>
      <c r="BA33" s="172">
        <f t="shared" si="67"/>
        <v>7</v>
      </c>
      <c r="BB33" s="172">
        <f t="shared" si="67"/>
        <v>9</v>
      </c>
      <c r="BC33" s="172">
        <f t="shared" si="67"/>
        <v>0</v>
      </c>
      <c r="BD33" s="172">
        <f t="shared" si="67"/>
        <v>35</v>
      </c>
      <c r="BE33" s="172">
        <f t="shared" si="67"/>
        <v>0</v>
      </c>
      <c r="BF33" s="172">
        <f t="shared" si="67"/>
        <v>0</v>
      </c>
      <c r="BG33" s="172">
        <f t="shared" si="67"/>
        <v>23</v>
      </c>
      <c r="BH33" s="128">
        <f t="shared" si="67"/>
        <v>0.2908</v>
      </c>
      <c r="BI33" s="89">
        <f t="shared" si="67"/>
        <v>230.49</v>
      </c>
      <c r="BJ33" s="178">
        <f t="shared" si="67"/>
        <v>8000</v>
      </c>
      <c r="BK33" s="178">
        <f t="shared" si="67"/>
        <v>3000</v>
      </c>
      <c r="BL33" s="178">
        <f t="shared" si="67"/>
        <v>0.2499</v>
      </c>
      <c r="BM33" s="178">
        <f t="shared" si="67"/>
        <v>31.25</v>
      </c>
      <c r="BN33" s="178">
        <f t="shared" ref="BN33:CD33" si="68">SUM(BN34:BN68)</f>
        <v>0</v>
      </c>
      <c r="BO33" s="178">
        <f t="shared" si="68"/>
        <v>0</v>
      </c>
      <c r="BP33" s="178">
        <f t="shared" si="68"/>
        <v>261.74</v>
      </c>
      <c r="BQ33" s="126">
        <f t="shared" si="68"/>
        <v>1804</v>
      </c>
      <c r="BR33" s="116">
        <f t="shared" si="68"/>
        <v>0.467963683527886</v>
      </c>
      <c r="BS33" s="183">
        <f t="shared" si="68"/>
        <v>297.49</v>
      </c>
      <c r="BT33" s="190">
        <f t="shared" si="68"/>
        <v>26</v>
      </c>
      <c r="BU33" s="190">
        <f t="shared" si="68"/>
        <v>3</v>
      </c>
      <c r="BV33" s="190">
        <f t="shared" si="68"/>
        <v>35</v>
      </c>
      <c r="BW33" s="91">
        <f t="shared" si="68"/>
        <v>0.328303559063842</v>
      </c>
      <c r="BX33" s="183">
        <f t="shared" si="68"/>
        <v>31.48</v>
      </c>
      <c r="BY33" s="198">
        <f t="shared" si="68"/>
        <v>0</v>
      </c>
      <c r="BZ33" s="199">
        <f t="shared" si="68"/>
        <v>0</v>
      </c>
      <c r="CA33" s="183">
        <f t="shared" si="68"/>
        <v>0</v>
      </c>
      <c r="CB33" s="105">
        <f t="shared" si="68"/>
        <v>0</v>
      </c>
      <c r="CC33" s="105">
        <f t="shared" si="68"/>
        <v>19</v>
      </c>
      <c r="CD33" s="105">
        <f t="shared" si="68"/>
        <v>2752.76</v>
      </c>
      <c r="CE33" s="45"/>
    </row>
    <row r="34" s="43" customFormat="1" ht="12" customHeight="1" spans="1:84">
      <c r="A34" s="94" t="s">
        <v>129</v>
      </c>
      <c r="B34" s="95">
        <v>15883</v>
      </c>
      <c r="C34" s="96">
        <f t="shared" ref="C34:C68" si="69">ROUND(B34/B$7,4)</f>
        <v>0.0009</v>
      </c>
      <c r="D34" s="97">
        <f t="shared" ref="D34:D68" si="70">ROUND(205*C34,2)</f>
        <v>0.18</v>
      </c>
      <c r="E34" s="98">
        <v>11</v>
      </c>
      <c r="F34" s="99">
        <v>925</v>
      </c>
      <c r="G34" s="100">
        <f t="shared" ref="G34:G68" si="71">ROUND((E34*0.0276+F34*0.001)/(E$7*0.0276+F$7*0.001),4)</f>
        <v>0.0008</v>
      </c>
      <c r="H34" s="101">
        <f t="shared" ref="H34:H68" si="72">ROUND(2832*G34+40*G34,2)</f>
        <v>2.3</v>
      </c>
      <c r="I34" s="115"/>
      <c r="J34" s="115"/>
      <c r="K34" s="115"/>
      <c r="L34" s="115">
        <v>2</v>
      </c>
      <c r="M34" s="116">
        <f t="shared" ref="M34:M68" si="73">ROUND((I34*4.1+J34*50+K34*10+L34*0.02)/1250.12,4)</f>
        <v>0</v>
      </c>
      <c r="N34" s="101">
        <f t="shared" si="49"/>
        <v>0</v>
      </c>
      <c r="O34" s="101"/>
      <c r="P34" s="101">
        <f>N34+O34</f>
        <v>0</v>
      </c>
      <c r="Q34" s="121">
        <v>0</v>
      </c>
      <c r="R34" s="130">
        <v>0</v>
      </c>
      <c r="S34" s="123">
        <f t="shared" ref="S34:S68" si="74">ROUND((Q34*0.0027+R34*0.055)/(Q$7*0.0027+R$7*0.055),4)</f>
        <v>0</v>
      </c>
      <c r="T34" s="123">
        <f t="shared" si="57"/>
        <v>0</v>
      </c>
      <c r="U34" s="116">
        <f t="shared" ref="U34:U68" si="75">ROUND(T34/SUM(T$9:T$20,T$25:T$32,T$34:T$68),4)</f>
        <v>0</v>
      </c>
      <c r="V34" s="101">
        <f t="shared" ref="V34:V68" si="76">ROUND(1329.42*U34,2)</f>
        <v>0</v>
      </c>
      <c r="W34" s="131"/>
      <c r="X34" s="125">
        <v>1</v>
      </c>
      <c r="Y34" s="125"/>
      <c r="Z34" s="82"/>
      <c r="AA34" s="82"/>
      <c r="AB34" s="82"/>
      <c r="AC34" s="82"/>
      <c r="AD34" s="142">
        <f t="shared" ref="AD34:AD68" si="77">ROUND((W34*0.01+X34*2+Y34*2+Z34*5+AA34*2+AB34*37.15+AC34*20)/(W$7*0.01+X$7*2+Y$7*2+Z$7*5+AA$7*2+AB$7*37.15+AC$7*20),4)</f>
        <v>0.0083</v>
      </c>
      <c r="AE34" s="84">
        <f t="shared" ref="AE34:AE68" si="78">+ROUND(299.2*AD34,2)</f>
        <v>2.48</v>
      </c>
      <c r="AF34" s="98">
        <v>1</v>
      </c>
      <c r="AG34" s="98"/>
      <c r="AH34" s="98"/>
      <c r="AI34" s="98"/>
      <c r="AJ34" s="98"/>
      <c r="AK34" s="98"/>
      <c r="AL34" s="98"/>
      <c r="AM34" s="98"/>
      <c r="AN34" s="147">
        <v>0.0027</v>
      </c>
      <c r="AO34" s="97">
        <f t="shared" si="60"/>
        <v>0.51</v>
      </c>
      <c r="AP34" s="155"/>
      <c r="AQ34" s="156">
        <v>31</v>
      </c>
      <c r="AR34" s="96">
        <f t="shared" ref="AR34:AR68" si="79">(AP34*0.04*12+AQ34*0.001)/(AP$7*0.04*12+AQ$7*0.001)</f>
        <v>7.54656351406947e-5</v>
      </c>
      <c r="AS34" s="97">
        <f t="shared" ref="AS34:AS68" si="80">ROUND(373.8*AR34,2)</f>
        <v>0.03</v>
      </c>
      <c r="AT34" s="157">
        <v>400</v>
      </c>
      <c r="AU34" s="157">
        <v>16</v>
      </c>
      <c r="AV34" s="157">
        <v>8</v>
      </c>
      <c r="AW34" s="174"/>
      <c r="AX34" s="174"/>
      <c r="AY34" s="96">
        <f t="shared" ref="AY34:AY68" si="81">(AT34*0.000861+AU34*0.025+AV34*0.04+AW34*1.5+AX34*20)/1349.5</f>
        <v>0.000788736569099667</v>
      </c>
      <c r="AZ34" s="97">
        <f t="shared" ref="AZ34:AZ68" si="82">ROUND(AY34*1349.5+9.5269*AY34,2)</f>
        <v>1.07</v>
      </c>
      <c r="BA34" s="82"/>
      <c r="BB34" s="82"/>
      <c r="BC34" s="82"/>
      <c r="BD34" s="82">
        <v>1</v>
      </c>
      <c r="BE34" s="82"/>
      <c r="BF34" s="82"/>
      <c r="BG34" s="82"/>
      <c r="BH34" s="131">
        <f t="shared" ref="BH34:BH68" si="83">ROUND((BA34*13+BB34*3+BC34*6+BD34*1.2+BE34*6.2+BF34*15+BG34*3)/786,4)</f>
        <v>0.0015</v>
      </c>
      <c r="BI34" s="97">
        <f t="shared" si="62"/>
        <v>1.19</v>
      </c>
      <c r="BJ34" s="98"/>
      <c r="BK34" s="99"/>
      <c r="BL34" s="116"/>
      <c r="BM34" s="186"/>
      <c r="BN34" s="187"/>
      <c r="BO34" s="186"/>
      <c r="BP34" s="186">
        <f>BI34+BM34+BO34</f>
        <v>1.19</v>
      </c>
      <c r="BQ34" s="98">
        <v>18</v>
      </c>
      <c r="BR34" s="116">
        <f t="shared" si="44"/>
        <v>0.0046692607003891</v>
      </c>
      <c r="BS34" s="188">
        <f t="shared" si="52"/>
        <v>2.97</v>
      </c>
      <c r="BT34" s="189">
        <v>1</v>
      </c>
      <c r="BU34" s="189"/>
      <c r="BV34" s="194">
        <v>1</v>
      </c>
      <c r="BW34" s="116">
        <f t="shared" ref="BW34:BW68" si="84">BT34/83*0.8+BU34/9*0.04+BV34/87*0.16</f>
        <v>0.0114776346766376</v>
      </c>
      <c r="BX34" s="188">
        <f t="shared" ref="BX34:BX68" si="85">ROUND(95.48*BW34+0.5*BW34,2)</f>
        <v>1.1</v>
      </c>
      <c r="BY34" s="195"/>
      <c r="BZ34" s="196"/>
      <c r="CA34" s="188"/>
      <c r="CB34" s="200"/>
      <c r="CC34" s="84">
        <v>0</v>
      </c>
      <c r="CD34" s="208">
        <f t="shared" si="26"/>
        <v>11.83</v>
      </c>
      <c r="CE34" s="45"/>
      <c r="CF34" s="44"/>
    </row>
    <row r="35" s="43" customFormat="1" ht="12" customHeight="1" spans="1:84">
      <c r="A35" s="94" t="s">
        <v>130</v>
      </c>
      <c r="B35" s="95">
        <v>77918</v>
      </c>
      <c r="C35" s="96">
        <f t="shared" si="69"/>
        <v>0.0046</v>
      </c>
      <c r="D35" s="97">
        <f t="shared" si="70"/>
        <v>0.94</v>
      </c>
      <c r="E35" s="98">
        <v>112</v>
      </c>
      <c r="F35" s="99">
        <v>5581</v>
      </c>
      <c r="G35" s="100">
        <f t="shared" si="71"/>
        <v>0.0054</v>
      </c>
      <c r="H35" s="101">
        <f t="shared" si="72"/>
        <v>15.51</v>
      </c>
      <c r="I35" s="115"/>
      <c r="J35" s="115"/>
      <c r="K35" s="115"/>
      <c r="L35" s="115">
        <v>91</v>
      </c>
      <c r="M35" s="116">
        <f t="shared" si="73"/>
        <v>0.0015</v>
      </c>
      <c r="N35" s="101">
        <f t="shared" si="49"/>
        <v>1.06</v>
      </c>
      <c r="O35" s="101"/>
      <c r="P35" s="101">
        <f t="shared" ref="P35:P68" si="86">N35+O35</f>
        <v>1.06</v>
      </c>
      <c r="Q35" s="121">
        <v>0</v>
      </c>
      <c r="R35" s="130">
        <v>0</v>
      </c>
      <c r="S35" s="123">
        <f t="shared" si="74"/>
        <v>0</v>
      </c>
      <c r="T35" s="123">
        <f t="shared" si="57"/>
        <v>0</v>
      </c>
      <c r="U35" s="116">
        <f t="shared" si="75"/>
        <v>0</v>
      </c>
      <c r="V35" s="101">
        <f t="shared" si="76"/>
        <v>0</v>
      </c>
      <c r="W35" s="131"/>
      <c r="X35" s="125"/>
      <c r="Y35" s="125"/>
      <c r="Z35" s="82">
        <v>1</v>
      </c>
      <c r="AA35" s="82"/>
      <c r="AB35" s="82"/>
      <c r="AC35" s="82"/>
      <c r="AD35" s="142">
        <f t="shared" si="77"/>
        <v>0.0206</v>
      </c>
      <c r="AE35" s="84">
        <f t="shared" si="78"/>
        <v>6.16</v>
      </c>
      <c r="AF35" s="98">
        <v>1</v>
      </c>
      <c r="AG35" s="98"/>
      <c r="AH35" s="98"/>
      <c r="AI35" s="98"/>
      <c r="AJ35" s="98"/>
      <c r="AK35" s="98">
        <v>1</v>
      </c>
      <c r="AL35" s="98"/>
      <c r="AM35" s="98"/>
      <c r="AN35" s="147">
        <v>0.0053</v>
      </c>
      <c r="AO35" s="97">
        <f t="shared" si="60"/>
        <v>1.01</v>
      </c>
      <c r="AP35" s="155"/>
      <c r="AQ35" s="156">
        <v>168</v>
      </c>
      <c r="AR35" s="96">
        <f t="shared" si="79"/>
        <v>0.000408975054956023</v>
      </c>
      <c r="AS35" s="97">
        <f t="shared" si="80"/>
        <v>0.15</v>
      </c>
      <c r="AT35" s="157">
        <v>2688</v>
      </c>
      <c r="AU35" s="157">
        <v>76</v>
      </c>
      <c r="AV35" s="157">
        <v>38</v>
      </c>
      <c r="AW35" s="174"/>
      <c r="AX35" s="174"/>
      <c r="AY35" s="96">
        <f t="shared" si="81"/>
        <v>0.00424925379770285</v>
      </c>
      <c r="AZ35" s="97">
        <f t="shared" si="82"/>
        <v>5.77</v>
      </c>
      <c r="BA35" s="82">
        <v>1</v>
      </c>
      <c r="BB35" s="82">
        <v>1</v>
      </c>
      <c r="BC35" s="82"/>
      <c r="BD35" s="82">
        <v>1</v>
      </c>
      <c r="BE35" s="82"/>
      <c r="BF35" s="82"/>
      <c r="BG35" s="82"/>
      <c r="BH35" s="131">
        <f t="shared" si="83"/>
        <v>0.0219</v>
      </c>
      <c r="BI35" s="97">
        <f t="shared" si="62"/>
        <v>17.36</v>
      </c>
      <c r="BJ35" s="98"/>
      <c r="BK35" s="99"/>
      <c r="BL35" s="116"/>
      <c r="BM35" s="186"/>
      <c r="BN35" s="187"/>
      <c r="BO35" s="186"/>
      <c r="BP35" s="186">
        <f t="shared" ref="BP35:BP68" si="87">BI35+BM35+BO35</f>
        <v>17.36</v>
      </c>
      <c r="BQ35" s="98">
        <v>55</v>
      </c>
      <c r="BR35" s="116">
        <f t="shared" si="44"/>
        <v>0.0142671854734112</v>
      </c>
      <c r="BS35" s="188">
        <f t="shared" si="52"/>
        <v>9.07</v>
      </c>
      <c r="BT35" s="189">
        <v>1</v>
      </c>
      <c r="BU35" s="189"/>
      <c r="BV35" s="194">
        <v>1</v>
      </c>
      <c r="BW35" s="116">
        <f t="shared" si="84"/>
        <v>0.0114776346766376</v>
      </c>
      <c r="BX35" s="188">
        <f t="shared" si="85"/>
        <v>1.1</v>
      </c>
      <c r="BY35" s="195"/>
      <c r="BZ35" s="196"/>
      <c r="CA35" s="188"/>
      <c r="CB35" s="201"/>
      <c r="CC35" s="84">
        <v>0</v>
      </c>
      <c r="CD35" s="208">
        <f t="shared" si="26"/>
        <v>58.13</v>
      </c>
      <c r="CE35" s="45"/>
      <c r="CF35" s="44"/>
    </row>
    <row r="36" s="43" customFormat="1" ht="12" customHeight="1" spans="1:84">
      <c r="A36" s="94" t="s">
        <v>131</v>
      </c>
      <c r="B36" s="95">
        <v>45689</v>
      </c>
      <c r="C36" s="96">
        <f t="shared" si="69"/>
        <v>0.0027</v>
      </c>
      <c r="D36" s="97">
        <f t="shared" si="70"/>
        <v>0.55</v>
      </c>
      <c r="E36" s="98">
        <v>52</v>
      </c>
      <c r="F36" s="99">
        <v>3227</v>
      </c>
      <c r="G36" s="100">
        <f t="shared" si="71"/>
        <v>0.0029</v>
      </c>
      <c r="H36" s="101">
        <f t="shared" si="72"/>
        <v>8.33</v>
      </c>
      <c r="I36" s="115"/>
      <c r="J36" s="115"/>
      <c r="K36" s="115"/>
      <c r="L36" s="115">
        <v>44</v>
      </c>
      <c r="M36" s="116">
        <f t="shared" si="73"/>
        <v>0.0007</v>
      </c>
      <c r="N36" s="101">
        <f t="shared" si="49"/>
        <v>0.49</v>
      </c>
      <c r="O36" s="101"/>
      <c r="P36" s="101">
        <f t="shared" si="86"/>
        <v>0.49</v>
      </c>
      <c r="Q36" s="121">
        <v>0</v>
      </c>
      <c r="R36" s="130">
        <v>0</v>
      </c>
      <c r="S36" s="123">
        <f t="shared" si="74"/>
        <v>0</v>
      </c>
      <c r="T36" s="123">
        <f t="shared" si="57"/>
        <v>0</v>
      </c>
      <c r="U36" s="116">
        <f t="shared" si="75"/>
        <v>0</v>
      </c>
      <c r="V36" s="101">
        <f t="shared" si="76"/>
        <v>0</v>
      </c>
      <c r="W36" s="131"/>
      <c r="X36" s="125"/>
      <c r="Y36" s="125"/>
      <c r="Z36" s="82">
        <v>1</v>
      </c>
      <c r="AA36" s="82">
        <v>7</v>
      </c>
      <c r="AB36" s="82"/>
      <c r="AC36" s="82"/>
      <c r="AD36" s="142">
        <f t="shared" si="77"/>
        <v>0.0784</v>
      </c>
      <c r="AE36" s="84">
        <f t="shared" si="78"/>
        <v>23.46</v>
      </c>
      <c r="AF36" s="98">
        <v>1</v>
      </c>
      <c r="AG36" s="98"/>
      <c r="AH36" s="98"/>
      <c r="AI36" s="98"/>
      <c r="AJ36" s="98"/>
      <c r="AK36" s="98"/>
      <c r="AL36" s="98"/>
      <c r="AM36" s="98"/>
      <c r="AN36" s="147">
        <v>0.0027</v>
      </c>
      <c r="AO36" s="97">
        <f t="shared" si="60"/>
        <v>0.51</v>
      </c>
      <c r="AP36" s="155"/>
      <c r="AQ36" s="156">
        <v>105</v>
      </c>
      <c r="AR36" s="96">
        <f t="shared" si="79"/>
        <v>0.000255609409347514</v>
      </c>
      <c r="AS36" s="97">
        <f t="shared" si="80"/>
        <v>0.1</v>
      </c>
      <c r="AT36" s="157">
        <v>1431</v>
      </c>
      <c r="AU36" s="157">
        <v>44</v>
      </c>
      <c r="AV36" s="157">
        <v>22</v>
      </c>
      <c r="AW36" s="174"/>
      <c r="AX36" s="174"/>
      <c r="AY36" s="96">
        <f t="shared" si="81"/>
        <v>0.00238020822526862</v>
      </c>
      <c r="AZ36" s="97">
        <f t="shared" si="82"/>
        <v>3.23</v>
      </c>
      <c r="BA36" s="82"/>
      <c r="BB36" s="82">
        <v>1</v>
      </c>
      <c r="BC36" s="82"/>
      <c r="BD36" s="82">
        <v>1</v>
      </c>
      <c r="BE36" s="82"/>
      <c r="BF36" s="82"/>
      <c r="BG36" s="82">
        <v>1</v>
      </c>
      <c r="BH36" s="131">
        <f t="shared" si="83"/>
        <v>0.0092</v>
      </c>
      <c r="BI36" s="97">
        <f t="shared" si="62"/>
        <v>7.29</v>
      </c>
      <c r="BJ36" s="98"/>
      <c r="BK36" s="99"/>
      <c r="BL36" s="116"/>
      <c r="BM36" s="186"/>
      <c r="BN36" s="187"/>
      <c r="BO36" s="186"/>
      <c r="BP36" s="186">
        <f t="shared" si="87"/>
        <v>7.29</v>
      </c>
      <c r="BQ36" s="98">
        <v>39</v>
      </c>
      <c r="BR36" s="116">
        <f t="shared" si="44"/>
        <v>0.0101167315175097</v>
      </c>
      <c r="BS36" s="188">
        <f t="shared" si="52"/>
        <v>6.43</v>
      </c>
      <c r="BT36" s="189"/>
      <c r="BU36" s="189">
        <v>1</v>
      </c>
      <c r="BV36" s="194">
        <v>1</v>
      </c>
      <c r="BW36" s="116">
        <f t="shared" si="84"/>
        <v>0.00628352490421456</v>
      </c>
      <c r="BX36" s="188">
        <f t="shared" si="85"/>
        <v>0.6</v>
      </c>
      <c r="BY36" s="195"/>
      <c r="BZ36" s="196"/>
      <c r="CA36" s="188"/>
      <c r="CB36" s="200"/>
      <c r="CC36" s="84">
        <v>0</v>
      </c>
      <c r="CD36" s="208">
        <f t="shared" si="26"/>
        <v>50.99</v>
      </c>
      <c r="CE36" s="45"/>
      <c r="CF36" s="44"/>
    </row>
    <row r="37" s="43" customFormat="1" ht="12" customHeight="1" spans="1:84">
      <c r="A37" s="94" t="s">
        <v>299</v>
      </c>
      <c r="B37" s="95">
        <v>50298</v>
      </c>
      <c r="C37" s="96">
        <f t="shared" si="69"/>
        <v>0.003</v>
      </c>
      <c r="D37" s="97">
        <f t="shared" si="70"/>
        <v>0.62</v>
      </c>
      <c r="E37" s="98">
        <v>95</v>
      </c>
      <c r="F37" s="99">
        <v>2601</v>
      </c>
      <c r="G37" s="100">
        <f t="shared" si="71"/>
        <v>0.0033</v>
      </c>
      <c r="H37" s="101">
        <f t="shared" si="72"/>
        <v>9.48</v>
      </c>
      <c r="I37" s="115"/>
      <c r="J37" s="115"/>
      <c r="K37" s="115"/>
      <c r="L37" s="115">
        <v>72</v>
      </c>
      <c r="M37" s="116">
        <f t="shared" si="73"/>
        <v>0.0012</v>
      </c>
      <c r="N37" s="101">
        <f t="shared" si="49"/>
        <v>0.84</v>
      </c>
      <c r="O37" s="101"/>
      <c r="P37" s="101">
        <f t="shared" si="86"/>
        <v>0.84</v>
      </c>
      <c r="Q37" s="121">
        <v>0</v>
      </c>
      <c r="R37" s="130">
        <v>0</v>
      </c>
      <c r="S37" s="123">
        <f t="shared" si="74"/>
        <v>0</v>
      </c>
      <c r="T37" s="123">
        <f t="shared" si="57"/>
        <v>0</v>
      </c>
      <c r="U37" s="116">
        <f t="shared" si="75"/>
        <v>0</v>
      </c>
      <c r="V37" s="101">
        <f t="shared" si="76"/>
        <v>0</v>
      </c>
      <c r="W37" s="131"/>
      <c r="X37" s="125"/>
      <c r="Y37" s="125"/>
      <c r="Z37" s="82"/>
      <c r="AA37" s="82"/>
      <c r="AB37" s="82"/>
      <c r="AC37" s="82"/>
      <c r="AD37" s="142">
        <f t="shared" si="77"/>
        <v>0</v>
      </c>
      <c r="AE37" s="84">
        <f t="shared" si="78"/>
        <v>0</v>
      </c>
      <c r="AF37" s="98">
        <v>1</v>
      </c>
      <c r="AG37" s="98"/>
      <c r="AH37" s="98"/>
      <c r="AI37" s="98"/>
      <c r="AJ37" s="98"/>
      <c r="AK37" s="98">
        <v>1</v>
      </c>
      <c r="AL37" s="98"/>
      <c r="AM37" s="98"/>
      <c r="AN37" s="147">
        <v>0.0053</v>
      </c>
      <c r="AO37" s="97">
        <f t="shared" si="60"/>
        <v>1.01</v>
      </c>
      <c r="AP37" s="155"/>
      <c r="AQ37" s="156">
        <v>93</v>
      </c>
      <c r="AR37" s="96">
        <f t="shared" si="79"/>
        <v>0.000226396905422084</v>
      </c>
      <c r="AS37" s="97">
        <f t="shared" si="80"/>
        <v>0.08</v>
      </c>
      <c r="AT37" s="157">
        <v>1476</v>
      </c>
      <c r="AU37" s="157">
        <v>36</v>
      </c>
      <c r="AV37" s="157">
        <v>18</v>
      </c>
      <c r="AW37" s="174"/>
      <c r="AX37" s="174"/>
      <c r="AY37" s="96">
        <f t="shared" si="81"/>
        <v>0.0021421533901445</v>
      </c>
      <c r="AZ37" s="97">
        <f t="shared" si="82"/>
        <v>2.91</v>
      </c>
      <c r="BA37" s="82">
        <v>1</v>
      </c>
      <c r="BB37" s="82"/>
      <c r="BC37" s="82"/>
      <c r="BD37" s="82">
        <v>1</v>
      </c>
      <c r="BE37" s="82"/>
      <c r="BF37" s="82"/>
      <c r="BG37" s="82">
        <v>1</v>
      </c>
      <c r="BH37" s="131">
        <f t="shared" si="83"/>
        <v>0.0219</v>
      </c>
      <c r="BI37" s="97">
        <f t="shared" si="62"/>
        <v>17.36</v>
      </c>
      <c r="BJ37" s="98"/>
      <c r="BK37" s="99"/>
      <c r="BL37" s="116"/>
      <c r="BM37" s="186"/>
      <c r="BN37" s="187"/>
      <c r="BO37" s="186"/>
      <c r="BP37" s="186">
        <f t="shared" si="87"/>
        <v>17.36</v>
      </c>
      <c r="BQ37" s="98">
        <v>35</v>
      </c>
      <c r="BR37" s="116">
        <f t="shared" si="44"/>
        <v>0.00907911802853437</v>
      </c>
      <c r="BS37" s="188">
        <f t="shared" si="52"/>
        <v>5.77</v>
      </c>
      <c r="BT37" s="189">
        <v>1</v>
      </c>
      <c r="BU37" s="189"/>
      <c r="BV37" s="194">
        <v>1</v>
      </c>
      <c r="BW37" s="116">
        <f t="shared" si="84"/>
        <v>0.0114776346766376</v>
      </c>
      <c r="BX37" s="188">
        <f t="shared" si="85"/>
        <v>1.1</v>
      </c>
      <c r="BY37" s="195"/>
      <c r="BZ37" s="196"/>
      <c r="CA37" s="188"/>
      <c r="CB37" s="200"/>
      <c r="CC37" s="84">
        <v>0</v>
      </c>
      <c r="CD37" s="208">
        <f t="shared" si="26"/>
        <v>39.17</v>
      </c>
      <c r="CE37" s="45"/>
      <c r="CF37" s="44"/>
    </row>
    <row r="38" s="43" customFormat="1" ht="12" customHeight="1" spans="1:84">
      <c r="A38" s="94" t="s">
        <v>133</v>
      </c>
      <c r="B38" s="95">
        <v>94423</v>
      </c>
      <c r="C38" s="96">
        <f t="shared" si="69"/>
        <v>0.0056</v>
      </c>
      <c r="D38" s="97">
        <f t="shared" si="70"/>
        <v>1.15</v>
      </c>
      <c r="E38" s="98">
        <v>116</v>
      </c>
      <c r="F38" s="99">
        <v>5124</v>
      </c>
      <c r="G38" s="100">
        <f t="shared" si="71"/>
        <v>0.0052</v>
      </c>
      <c r="H38" s="101">
        <f t="shared" si="72"/>
        <v>14.93</v>
      </c>
      <c r="I38" s="115"/>
      <c r="J38" s="115"/>
      <c r="K38" s="115"/>
      <c r="L38" s="115">
        <v>53</v>
      </c>
      <c r="M38" s="116">
        <f t="shared" si="73"/>
        <v>0.0008</v>
      </c>
      <c r="N38" s="101">
        <f t="shared" si="49"/>
        <v>0.56</v>
      </c>
      <c r="O38" s="101"/>
      <c r="P38" s="101">
        <f t="shared" si="86"/>
        <v>0.56</v>
      </c>
      <c r="Q38" s="121">
        <v>0</v>
      </c>
      <c r="R38" s="130">
        <v>0</v>
      </c>
      <c r="S38" s="123">
        <f t="shared" si="74"/>
        <v>0</v>
      </c>
      <c r="T38" s="123">
        <f t="shared" si="57"/>
        <v>0</v>
      </c>
      <c r="U38" s="116">
        <f t="shared" si="75"/>
        <v>0</v>
      </c>
      <c r="V38" s="101">
        <f t="shared" si="76"/>
        <v>0</v>
      </c>
      <c r="W38" s="131"/>
      <c r="X38" s="125"/>
      <c r="Y38" s="125"/>
      <c r="Z38" s="82"/>
      <c r="AA38" s="82">
        <v>1</v>
      </c>
      <c r="AB38" s="82"/>
      <c r="AC38" s="82"/>
      <c r="AD38" s="142">
        <f t="shared" si="77"/>
        <v>0.0083</v>
      </c>
      <c r="AE38" s="84">
        <f t="shared" si="78"/>
        <v>2.48</v>
      </c>
      <c r="AF38" s="98">
        <v>1</v>
      </c>
      <c r="AG38" s="98"/>
      <c r="AH38" s="98"/>
      <c r="AI38" s="98"/>
      <c r="AJ38" s="98"/>
      <c r="AK38" s="98"/>
      <c r="AL38" s="98"/>
      <c r="AM38" s="98"/>
      <c r="AN38" s="147">
        <v>0.0027</v>
      </c>
      <c r="AO38" s="97">
        <f t="shared" si="60"/>
        <v>0.51</v>
      </c>
      <c r="AP38" s="155"/>
      <c r="AQ38" s="156">
        <v>174</v>
      </c>
      <c r="AR38" s="96">
        <f t="shared" si="79"/>
        <v>0.000423581306918738</v>
      </c>
      <c r="AS38" s="97">
        <f t="shared" si="80"/>
        <v>0.16</v>
      </c>
      <c r="AT38" s="157">
        <v>2860</v>
      </c>
      <c r="AU38" s="157">
        <v>44</v>
      </c>
      <c r="AV38" s="157">
        <v>22</v>
      </c>
      <c r="AW38" s="174"/>
      <c r="AX38" s="174"/>
      <c r="AY38" s="96">
        <f t="shared" si="81"/>
        <v>0.00329193034457206</v>
      </c>
      <c r="AZ38" s="97">
        <f t="shared" si="82"/>
        <v>4.47</v>
      </c>
      <c r="BA38" s="82">
        <v>1</v>
      </c>
      <c r="BB38" s="82"/>
      <c r="BC38" s="82"/>
      <c r="BD38" s="82">
        <v>1</v>
      </c>
      <c r="BE38" s="82"/>
      <c r="BF38" s="82"/>
      <c r="BG38" s="82"/>
      <c r="BH38" s="131">
        <f t="shared" si="83"/>
        <v>0.0181</v>
      </c>
      <c r="BI38" s="97">
        <f t="shared" si="62"/>
        <v>14.35</v>
      </c>
      <c r="BJ38" s="98"/>
      <c r="BK38" s="99"/>
      <c r="BL38" s="116"/>
      <c r="BM38" s="186"/>
      <c r="BN38" s="187"/>
      <c r="BO38" s="186"/>
      <c r="BP38" s="186">
        <f t="shared" si="87"/>
        <v>14.35</v>
      </c>
      <c r="BQ38" s="98">
        <v>31</v>
      </c>
      <c r="BR38" s="116">
        <f t="shared" si="44"/>
        <v>0.00804150453955901</v>
      </c>
      <c r="BS38" s="188">
        <f t="shared" si="52"/>
        <v>5.11</v>
      </c>
      <c r="BT38" s="189">
        <v>1</v>
      </c>
      <c r="BU38" s="189"/>
      <c r="BV38" s="194">
        <v>1</v>
      </c>
      <c r="BW38" s="116">
        <f t="shared" si="84"/>
        <v>0.0114776346766376</v>
      </c>
      <c r="BX38" s="188">
        <f t="shared" si="85"/>
        <v>1.1</v>
      </c>
      <c r="BY38" s="195"/>
      <c r="BZ38" s="196"/>
      <c r="CA38" s="188"/>
      <c r="CB38" s="200"/>
      <c r="CC38" s="84">
        <v>0</v>
      </c>
      <c r="CD38" s="208">
        <f t="shared" si="26"/>
        <v>44.82</v>
      </c>
      <c r="CE38" s="45"/>
      <c r="CF38" s="44"/>
    </row>
    <row r="39" s="43" customFormat="1" ht="12" customHeight="1" spans="1:84">
      <c r="A39" s="94" t="s">
        <v>134</v>
      </c>
      <c r="B39" s="95">
        <v>148420</v>
      </c>
      <c r="C39" s="96">
        <f t="shared" si="69"/>
        <v>0.0088</v>
      </c>
      <c r="D39" s="97">
        <f t="shared" si="70"/>
        <v>1.8</v>
      </c>
      <c r="E39" s="98">
        <v>97</v>
      </c>
      <c r="F39" s="99">
        <v>9220</v>
      </c>
      <c r="G39" s="100">
        <f t="shared" si="71"/>
        <v>0.0075</v>
      </c>
      <c r="H39" s="101">
        <f t="shared" si="72"/>
        <v>21.54</v>
      </c>
      <c r="I39" s="115"/>
      <c r="J39" s="115"/>
      <c r="K39" s="115"/>
      <c r="L39" s="115">
        <v>104</v>
      </c>
      <c r="M39" s="116">
        <f t="shared" si="73"/>
        <v>0.0017</v>
      </c>
      <c r="N39" s="101">
        <f t="shared" si="49"/>
        <v>1.2</v>
      </c>
      <c r="O39" s="101"/>
      <c r="P39" s="101">
        <f t="shared" si="86"/>
        <v>1.2</v>
      </c>
      <c r="Q39" s="121">
        <v>0</v>
      </c>
      <c r="R39" s="130">
        <v>0</v>
      </c>
      <c r="S39" s="123">
        <f t="shared" si="74"/>
        <v>0</v>
      </c>
      <c r="T39" s="123">
        <f t="shared" si="57"/>
        <v>0</v>
      </c>
      <c r="U39" s="116">
        <f t="shared" si="75"/>
        <v>0</v>
      </c>
      <c r="V39" s="101">
        <f t="shared" si="76"/>
        <v>0</v>
      </c>
      <c r="W39" s="131"/>
      <c r="X39" s="125"/>
      <c r="Y39" s="125"/>
      <c r="Z39" s="82"/>
      <c r="AA39" s="82">
        <v>1</v>
      </c>
      <c r="AB39" s="82"/>
      <c r="AC39" s="82"/>
      <c r="AD39" s="142">
        <f t="shared" si="77"/>
        <v>0.0083</v>
      </c>
      <c r="AE39" s="84">
        <f t="shared" si="78"/>
        <v>2.48</v>
      </c>
      <c r="AF39" s="98">
        <v>1</v>
      </c>
      <c r="AG39" s="98"/>
      <c r="AH39" s="98"/>
      <c r="AI39" s="98"/>
      <c r="AJ39" s="98"/>
      <c r="AK39" s="98"/>
      <c r="AL39" s="98"/>
      <c r="AM39" s="98"/>
      <c r="AN39" s="147">
        <v>0.0027</v>
      </c>
      <c r="AO39" s="97">
        <f t="shared" si="60"/>
        <v>0.51</v>
      </c>
      <c r="AP39" s="155">
        <v>2</v>
      </c>
      <c r="AQ39" s="156">
        <v>336</v>
      </c>
      <c r="AR39" s="96">
        <f t="shared" si="79"/>
        <v>0.00315495042394646</v>
      </c>
      <c r="AS39" s="97">
        <f t="shared" si="80"/>
        <v>1.18</v>
      </c>
      <c r="AT39" s="157">
        <v>3559</v>
      </c>
      <c r="AU39" s="157">
        <v>96</v>
      </c>
      <c r="AV39" s="157">
        <v>48</v>
      </c>
      <c r="AW39" s="174"/>
      <c r="AX39" s="174"/>
      <c r="AY39" s="96">
        <f t="shared" si="81"/>
        <v>0.00547187773249352</v>
      </c>
      <c r="AZ39" s="97">
        <f t="shared" si="82"/>
        <v>7.44</v>
      </c>
      <c r="BA39" s="82"/>
      <c r="BB39" s="82"/>
      <c r="BC39" s="82"/>
      <c r="BD39" s="82">
        <v>1</v>
      </c>
      <c r="BE39" s="82"/>
      <c r="BF39" s="82"/>
      <c r="BG39" s="82">
        <v>1</v>
      </c>
      <c r="BH39" s="131">
        <f t="shared" si="83"/>
        <v>0.0053</v>
      </c>
      <c r="BI39" s="97">
        <f t="shared" si="62"/>
        <v>4.2</v>
      </c>
      <c r="BJ39" s="98"/>
      <c r="BK39" s="99"/>
      <c r="BL39" s="116"/>
      <c r="BM39" s="186"/>
      <c r="BN39" s="187"/>
      <c r="BO39" s="186"/>
      <c r="BP39" s="186">
        <f t="shared" si="87"/>
        <v>4.2</v>
      </c>
      <c r="BQ39" s="98">
        <v>53</v>
      </c>
      <c r="BR39" s="116">
        <f t="shared" si="44"/>
        <v>0.0137483787289235</v>
      </c>
      <c r="BS39" s="188">
        <f t="shared" si="52"/>
        <v>8.74</v>
      </c>
      <c r="BT39" s="189">
        <v>1</v>
      </c>
      <c r="BU39" s="189"/>
      <c r="BV39" s="194">
        <v>1</v>
      </c>
      <c r="BW39" s="116">
        <f t="shared" si="84"/>
        <v>0.0114776346766376</v>
      </c>
      <c r="BX39" s="188">
        <f t="shared" si="85"/>
        <v>1.1</v>
      </c>
      <c r="BY39" s="195"/>
      <c r="BZ39" s="196"/>
      <c r="CA39" s="188"/>
      <c r="CB39" s="200"/>
      <c r="CC39" s="188">
        <v>0</v>
      </c>
      <c r="CD39" s="208">
        <f t="shared" si="26"/>
        <v>50.19</v>
      </c>
      <c r="CE39" s="45"/>
      <c r="CF39" s="44"/>
    </row>
    <row r="40" s="43" customFormat="1" ht="12" customHeight="1" spans="1:84">
      <c r="A40" s="94" t="s">
        <v>135</v>
      </c>
      <c r="B40" s="95">
        <v>150332</v>
      </c>
      <c r="C40" s="96">
        <f t="shared" si="69"/>
        <v>0.0089</v>
      </c>
      <c r="D40" s="97">
        <f t="shared" si="70"/>
        <v>1.82</v>
      </c>
      <c r="E40" s="98">
        <v>141</v>
      </c>
      <c r="F40" s="99">
        <v>10853</v>
      </c>
      <c r="G40" s="100">
        <f t="shared" si="71"/>
        <v>0.0093</v>
      </c>
      <c r="H40" s="101">
        <f t="shared" si="72"/>
        <v>26.71</v>
      </c>
      <c r="I40" s="115"/>
      <c r="J40" s="115"/>
      <c r="K40" s="115"/>
      <c r="L40" s="115">
        <v>154</v>
      </c>
      <c r="M40" s="116">
        <f t="shared" si="73"/>
        <v>0.0025</v>
      </c>
      <c r="N40" s="101">
        <f t="shared" si="49"/>
        <v>1.76</v>
      </c>
      <c r="O40" s="101"/>
      <c r="P40" s="101">
        <f t="shared" si="86"/>
        <v>1.76</v>
      </c>
      <c r="Q40" s="121">
        <v>0</v>
      </c>
      <c r="R40" s="130">
        <v>0</v>
      </c>
      <c r="S40" s="123">
        <f t="shared" si="74"/>
        <v>0</v>
      </c>
      <c r="T40" s="123">
        <f t="shared" si="57"/>
        <v>0</v>
      </c>
      <c r="U40" s="116">
        <f t="shared" si="75"/>
        <v>0</v>
      </c>
      <c r="V40" s="101">
        <f t="shared" si="76"/>
        <v>0</v>
      </c>
      <c r="W40" s="131"/>
      <c r="X40" s="125"/>
      <c r="Y40" s="125"/>
      <c r="Z40" s="82"/>
      <c r="AA40" s="82"/>
      <c r="AB40" s="82"/>
      <c r="AC40" s="82"/>
      <c r="AD40" s="142">
        <f t="shared" si="77"/>
        <v>0</v>
      </c>
      <c r="AE40" s="84">
        <f t="shared" si="78"/>
        <v>0</v>
      </c>
      <c r="AF40" s="98">
        <v>1</v>
      </c>
      <c r="AG40" s="98"/>
      <c r="AH40" s="98"/>
      <c r="AI40" s="98"/>
      <c r="AJ40" s="98"/>
      <c r="AK40" s="98"/>
      <c r="AL40" s="98"/>
      <c r="AM40" s="98"/>
      <c r="AN40" s="147">
        <v>0.0027</v>
      </c>
      <c r="AO40" s="97">
        <f t="shared" si="60"/>
        <v>0.51</v>
      </c>
      <c r="AP40" s="155">
        <v>6</v>
      </c>
      <c r="AQ40" s="156">
        <v>365</v>
      </c>
      <c r="AR40" s="96">
        <f t="shared" si="79"/>
        <v>0.00789954793650175</v>
      </c>
      <c r="AS40" s="97">
        <f t="shared" si="80"/>
        <v>2.95</v>
      </c>
      <c r="AT40" s="157">
        <v>5887</v>
      </c>
      <c r="AU40" s="157">
        <v>120</v>
      </c>
      <c r="AV40" s="157">
        <v>60</v>
      </c>
      <c r="AW40" s="158"/>
      <c r="AX40" s="158"/>
      <c r="AY40" s="96">
        <f t="shared" si="81"/>
        <v>0.00775747091515376</v>
      </c>
      <c r="AZ40" s="97">
        <f t="shared" si="82"/>
        <v>10.54</v>
      </c>
      <c r="BA40" s="82"/>
      <c r="BB40" s="82"/>
      <c r="BC40" s="82"/>
      <c r="BD40" s="82">
        <v>1</v>
      </c>
      <c r="BE40" s="82"/>
      <c r="BF40" s="82"/>
      <c r="BG40" s="82"/>
      <c r="BH40" s="131">
        <f t="shared" si="83"/>
        <v>0.0015</v>
      </c>
      <c r="BI40" s="97">
        <f t="shared" si="62"/>
        <v>1.19</v>
      </c>
      <c r="BJ40" s="98"/>
      <c r="BK40" s="99"/>
      <c r="BL40" s="116"/>
      <c r="BM40" s="186"/>
      <c r="BN40" s="187"/>
      <c r="BO40" s="186"/>
      <c r="BP40" s="186">
        <f t="shared" si="87"/>
        <v>1.19</v>
      </c>
      <c r="BQ40" s="98">
        <v>73</v>
      </c>
      <c r="BR40" s="116">
        <f t="shared" si="44"/>
        <v>0.0189364461738003</v>
      </c>
      <c r="BS40" s="188">
        <f t="shared" si="52"/>
        <v>12.04</v>
      </c>
      <c r="BT40" s="189"/>
      <c r="BU40" s="189"/>
      <c r="BV40" s="194">
        <v>1</v>
      </c>
      <c r="BW40" s="116">
        <f t="shared" si="84"/>
        <v>0.00183908045977011</v>
      </c>
      <c r="BX40" s="188">
        <f t="shared" si="85"/>
        <v>0.18</v>
      </c>
      <c r="BY40" s="195"/>
      <c r="BZ40" s="196"/>
      <c r="CA40" s="188"/>
      <c r="CB40" s="200"/>
      <c r="CC40" s="84">
        <v>0</v>
      </c>
      <c r="CD40" s="208">
        <f t="shared" si="26"/>
        <v>57.7</v>
      </c>
      <c r="CE40" s="45"/>
      <c r="CF40" s="44"/>
    </row>
    <row r="41" s="43" customFormat="1" ht="12" customHeight="1" spans="1:84">
      <c r="A41" s="94" t="s">
        <v>136</v>
      </c>
      <c r="B41" s="95">
        <v>72001</v>
      </c>
      <c r="C41" s="96">
        <f t="shared" si="69"/>
        <v>0.0043</v>
      </c>
      <c r="D41" s="97">
        <f t="shared" si="70"/>
        <v>0.88</v>
      </c>
      <c r="E41" s="98">
        <v>87</v>
      </c>
      <c r="F41" s="99">
        <v>4997</v>
      </c>
      <c r="G41" s="100">
        <f t="shared" si="71"/>
        <v>0.0046</v>
      </c>
      <c r="H41" s="101">
        <f t="shared" si="72"/>
        <v>13.21</v>
      </c>
      <c r="I41" s="115"/>
      <c r="J41" s="115"/>
      <c r="K41" s="115"/>
      <c r="L41" s="115">
        <v>55</v>
      </c>
      <c r="M41" s="116">
        <f t="shared" si="73"/>
        <v>0.0009</v>
      </c>
      <c r="N41" s="101">
        <f t="shared" si="49"/>
        <v>0.63</v>
      </c>
      <c r="O41" s="101"/>
      <c r="P41" s="101">
        <f t="shared" si="86"/>
        <v>0.63</v>
      </c>
      <c r="Q41" s="121">
        <v>0</v>
      </c>
      <c r="R41" s="130">
        <v>0</v>
      </c>
      <c r="S41" s="123">
        <f t="shared" si="74"/>
        <v>0</v>
      </c>
      <c r="T41" s="123">
        <f t="shared" si="57"/>
        <v>0</v>
      </c>
      <c r="U41" s="116">
        <f t="shared" si="75"/>
        <v>0</v>
      </c>
      <c r="V41" s="101">
        <f t="shared" si="76"/>
        <v>0</v>
      </c>
      <c r="W41" s="131"/>
      <c r="X41" s="125">
        <v>1</v>
      </c>
      <c r="Y41" s="125"/>
      <c r="Z41" s="82"/>
      <c r="AA41" s="82"/>
      <c r="AB41" s="82"/>
      <c r="AC41" s="82"/>
      <c r="AD41" s="142">
        <f t="shared" si="77"/>
        <v>0.0083</v>
      </c>
      <c r="AE41" s="84">
        <f t="shared" si="78"/>
        <v>2.48</v>
      </c>
      <c r="AF41" s="98">
        <v>1</v>
      </c>
      <c r="AG41" s="98"/>
      <c r="AH41" s="98"/>
      <c r="AI41" s="98"/>
      <c r="AJ41" s="98"/>
      <c r="AK41" s="98"/>
      <c r="AL41" s="98"/>
      <c r="AM41" s="98"/>
      <c r="AN41" s="147">
        <v>0.0027</v>
      </c>
      <c r="AO41" s="97">
        <f t="shared" si="60"/>
        <v>0.51</v>
      </c>
      <c r="AP41" s="155"/>
      <c r="AQ41" s="156">
        <v>177</v>
      </c>
      <c r="AR41" s="96">
        <f t="shared" si="79"/>
        <v>0.000430884432900096</v>
      </c>
      <c r="AS41" s="97">
        <f t="shared" si="80"/>
        <v>0.16</v>
      </c>
      <c r="AT41" s="157">
        <v>2511</v>
      </c>
      <c r="AU41" s="157">
        <v>64</v>
      </c>
      <c r="AV41" s="157">
        <v>32</v>
      </c>
      <c r="AW41" s="174"/>
      <c r="AX41" s="174"/>
      <c r="AY41" s="96">
        <f t="shared" si="81"/>
        <v>0.0037361771026306</v>
      </c>
      <c r="AZ41" s="97">
        <f t="shared" si="82"/>
        <v>5.08</v>
      </c>
      <c r="BA41" s="82">
        <v>1</v>
      </c>
      <c r="BB41" s="82">
        <v>1</v>
      </c>
      <c r="BC41" s="82"/>
      <c r="BD41" s="82">
        <v>1</v>
      </c>
      <c r="BE41" s="82"/>
      <c r="BF41" s="82"/>
      <c r="BG41" s="82">
        <v>1</v>
      </c>
      <c r="BH41" s="131">
        <f t="shared" si="83"/>
        <v>0.0257</v>
      </c>
      <c r="BI41" s="97">
        <f t="shared" si="62"/>
        <v>20.37</v>
      </c>
      <c r="BJ41" s="98"/>
      <c r="BK41" s="99"/>
      <c r="BL41" s="116"/>
      <c r="BM41" s="186"/>
      <c r="BN41" s="187"/>
      <c r="BO41" s="186"/>
      <c r="BP41" s="186">
        <f t="shared" si="87"/>
        <v>20.37</v>
      </c>
      <c r="BQ41" s="98">
        <v>47</v>
      </c>
      <c r="BR41" s="116">
        <f t="shared" si="44"/>
        <v>0.0121919584954604</v>
      </c>
      <c r="BS41" s="188">
        <f t="shared" si="52"/>
        <v>7.75</v>
      </c>
      <c r="BT41" s="189">
        <v>1</v>
      </c>
      <c r="BU41" s="189"/>
      <c r="BV41" s="194">
        <v>1</v>
      </c>
      <c r="BW41" s="116">
        <f t="shared" si="84"/>
        <v>0.0114776346766376</v>
      </c>
      <c r="BX41" s="188">
        <f t="shared" si="85"/>
        <v>1.1</v>
      </c>
      <c r="BY41" s="195"/>
      <c r="BZ41" s="196"/>
      <c r="CA41" s="188"/>
      <c r="CB41" s="200"/>
      <c r="CC41" s="84">
        <v>0</v>
      </c>
      <c r="CD41" s="208">
        <f t="shared" ref="CD41:CD68" si="88">D41+H41+P41+V41+AO41+AE41+AZ41+AS41+BP41+BS41+BX41+CA41+CB41+CC41</f>
        <v>52.17</v>
      </c>
      <c r="CE41" s="45"/>
      <c r="CF41" s="44"/>
    </row>
    <row r="42" s="43" customFormat="1" ht="12" customHeight="1" spans="1:84">
      <c r="A42" s="94" t="s">
        <v>137</v>
      </c>
      <c r="B42" s="95">
        <v>173658</v>
      </c>
      <c r="C42" s="96">
        <f t="shared" si="69"/>
        <v>0.0103</v>
      </c>
      <c r="D42" s="97">
        <f t="shared" si="70"/>
        <v>2.11</v>
      </c>
      <c r="E42" s="98">
        <v>126</v>
      </c>
      <c r="F42" s="99">
        <v>14208</v>
      </c>
      <c r="G42" s="100">
        <f t="shared" si="71"/>
        <v>0.0111</v>
      </c>
      <c r="H42" s="101">
        <f t="shared" si="72"/>
        <v>31.88</v>
      </c>
      <c r="I42" s="115"/>
      <c r="J42" s="115"/>
      <c r="K42" s="115"/>
      <c r="L42" s="115">
        <v>234</v>
      </c>
      <c r="M42" s="116">
        <f t="shared" si="73"/>
        <v>0.0037</v>
      </c>
      <c r="N42" s="101">
        <f t="shared" si="49"/>
        <v>2.6</v>
      </c>
      <c r="O42" s="101"/>
      <c r="P42" s="101">
        <f t="shared" si="86"/>
        <v>2.6</v>
      </c>
      <c r="Q42" s="121">
        <v>0</v>
      </c>
      <c r="R42" s="130">
        <v>0</v>
      </c>
      <c r="S42" s="123">
        <f t="shared" si="74"/>
        <v>0</v>
      </c>
      <c r="T42" s="123">
        <f t="shared" si="57"/>
        <v>0</v>
      </c>
      <c r="U42" s="116">
        <f t="shared" si="75"/>
        <v>0</v>
      </c>
      <c r="V42" s="101">
        <f t="shared" si="76"/>
        <v>0</v>
      </c>
      <c r="W42" s="131"/>
      <c r="X42" s="125"/>
      <c r="Y42" s="125"/>
      <c r="Z42" s="82"/>
      <c r="AA42" s="82"/>
      <c r="AB42" s="82"/>
      <c r="AC42" s="82"/>
      <c r="AD42" s="142">
        <f t="shared" si="77"/>
        <v>0</v>
      </c>
      <c r="AE42" s="84">
        <f t="shared" si="78"/>
        <v>0</v>
      </c>
      <c r="AF42" s="98">
        <v>1</v>
      </c>
      <c r="AG42" s="98"/>
      <c r="AH42" s="98"/>
      <c r="AI42" s="98"/>
      <c r="AJ42" s="98"/>
      <c r="AK42" s="98">
        <v>1</v>
      </c>
      <c r="AL42" s="98"/>
      <c r="AM42" s="98"/>
      <c r="AN42" s="147">
        <v>0.0053</v>
      </c>
      <c r="AO42" s="97">
        <f t="shared" si="60"/>
        <v>1.01</v>
      </c>
      <c r="AP42" s="155">
        <v>4</v>
      </c>
      <c r="AQ42" s="156">
        <v>491</v>
      </c>
      <c r="AR42" s="96">
        <f t="shared" si="79"/>
        <v>0.00586927891368436</v>
      </c>
      <c r="AS42" s="97">
        <f t="shared" si="80"/>
        <v>2.19</v>
      </c>
      <c r="AT42" s="157">
        <v>6092</v>
      </c>
      <c r="AU42" s="157">
        <v>112</v>
      </c>
      <c r="AV42" s="157">
        <v>56</v>
      </c>
      <c r="AW42" s="174"/>
      <c r="AX42" s="174"/>
      <c r="AY42" s="96">
        <f t="shared" si="81"/>
        <v>0.00762149833271582</v>
      </c>
      <c r="AZ42" s="97">
        <f t="shared" si="82"/>
        <v>10.36</v>
      </c>
      <c r="BA42" s="82"/>
      <c r="BB42" s="82">
        <v>1</v>
      </c>
      <c r="BC42" s="82"/>
      <c r="BD42" s="82">
        <v>1</v>
      </c>
      <c r="BE42" s="82"/>
      <c r="BF42" s="82"/>
      <c r="BG42" s="82">
        <v>1</v>
      </c>
      <c r="BH42" s="131">
        <f t="shared" si="83"/>
        <v>0.0092</v>
      </c>
      <c r="BI42" s="97">
        <f t="shared" si="62"/>
        <v>7.29</v>
      </c>
      <c r="BJ42" s="98"/>
      <c r="BK42" s="99"/>
      <c r="BL42" s="116"/>
      <c r="BM42" s="186"/>
      <c r="BN42" s="187"/>
      <c r="BO42" s="186"/>
      <c r="BP42" s="186">
        <f t="shared" si="87"/>
        <v>7.29</v>
      </c>
      <c r="BQ42" s="98">
        <v>55</v>
      </c>
      <c r="BR42" s="116">
        <f t="shared" si="44"/>
        <v>0.0142671854734112</v>
      </c>
      <c r="BS42" s="188">
        <f t="shared" si="52"/>
        <v>9.07</v>
      </c>
      <c r="BT42" s="189">
        <v>1</v>
      </c>
      <c r="BU42" s="189"/>
      <c r="BV42" s="194">
        <v>1</v>
      </c>
      <c r="BW42" s="116">
        <f t="shared" si="84"/>
        <v>0.0114776346766376</v>
      </c>
      <c r="BX42" s="188">
        <f t="shared" si="85"/>
        <v>1.1</v>
      </c>
      <c r="BY42" s="195"/>
      <c r="BZ42" s="196"/>
      <c r="CA42" s="188"/>
      <c r="CB42" s="200"/>
      <c r="CC42" s="84">
        <v>0</v>
      </c>
      <c r="CD42" s="208">
        <f t="shared" si="88"/>
        <v>67.61</v>
      </c>
      <c r="CE42" s="45"/>
      <c r="CF42" s="44"/>
    </row>
    <row r="43" s="43" customFormat="1" ht="12" customHeight="1" spans="1:84">
      <c r="A43" s="94" t="s">
        <v>138</v>
      </c>
      <c r="B43" s="95">
        <v>265930</v>
      </c>
      <c r="C43" s="96">
        <f t="shared" si="69"/>
        <v>0.0158</v>
      </c>
      <c r="D43" s="97">
        <f t="shared" si="70"/>
        <v>3.24</v>
      </c>
      <c r="E43" s="98">
        <v>175</v>
      </c>
      <c r="F43" s="99">
        <v>13435</v>
      </c>
      <c r="G43" s="100">
        <f t="shared" si="71"/>
        <v>0.0115</v>
      </c>
      <c r="H43" s="101">
        <f t="shared" si="72"/>
        <v>33.03</v>
      </c>
      <c r="I43" s="115"/>
      <c r="J43" s="115"/>
      <c r="K43" s="115"/>
      <c r="L43" s="115">
        <v>291</v>
      </c>
      <c r="M43" s="116">
        <f t="shared" si="73"/>
        <v>0.0047</v>
      </c>
      <c r="N43" s="101">
        <f t="shared" si="49"/>
        <v>3.31</v>
      </c>
      <c r="O43" s="101"/>
      <c r="P43" s="101">
        <f t="shared" si="86"/>
        <v>3.31</v>
      </c>
      <c r="Q43" s="121">
        <v>0</v>
      </c>
      <c r="R43" s="130">
        <v>0</v>
      </c>
      <c r="S43" s="123">
        <f t="shared" si="74"/>
        <v>0</v>
      </c>
      <c r="T43" s="123">
        <f t="shared" si="57"/>
        <v>0</v>
      </c>
      <c r="U43" s="116">
        <f t="shared" si="75"/>
        <v>0</v>
      </c>
      <c r="V43" s="101">
        <f t="shared" si="76"/>
        <v>0</v>
      </c>
      <c r="W43" s="131"/>
      <c r="X43" s="125"/>
      <c r="Y43" s="125"/>
      <c r="Z43" s="82"/>
      <c r="AA43" s="82"/>
      <c r="AB43" s="82"/>
      <c r="AC43" s="82"/>
      <c r="AD43" s="142">
        <f t="shared" si="77"/>
        <v>0</v>
      </c>
      <c r="AE43" s="84">
        <f t="shared" si="78"/>
        <v>0</v>
      </c>
      <c r="AF43" s="98">
        <v>1</v>
      </c>
      <c r="AG43" s="98"/>
      <c r="AH43" s="98"/>
      <c r="AI43" s="98"/>
      <c r="AJ43" s="98"/>
      <c r="AK43" s="98"/>
      <c r="AL43" s="98"/>
      <c r="AM43" s="98"/>
      <c r="AN43" s="147">
        <v>0.0027</v>
      </c>
      <c r="AO43" s="97">
        <f t="shared" si="60"/>
        <v>0.51</v>
      </c>
      <c r="AP43" s="155">
        <v>6</v>
      </c>
      <c r="AQ43" s="156">
        <v>545</v>
      </c>
      <c r="AR43" s="96">
        <f t="shared" si="79"/>
        <v>0.00833773549538321</v>
      </c>
      <c r="AS43" s="97">
        <f t="shared" si="80"/>
        <v>3.12</v>
      </c>
      <c r="AT43" s="157">
        <v>6232</v>
      </c>
      <c r="AU43" s="157">
        <v>120</v>
      </c>
      <c r="AV43" s="157">
        <v>60</v>
      </c>
      <c r="AW43" s="158"/>
      <c r="AX43" s="158"/>
      <c r="AY43" s="96">
        <f t="shared" si="81"/>
        <v>0.00797758577250834</v>
      </c>
      <c r="AZ43" s="97">
        <f t="shared" si="82"/>
        <v>10.84</v>
      </c>
      <c r="BA43" s="82"/>
      <c r="BB43" s="82"/>
      <c r="BC43" s="82"/>
      <c r="BD43" s="82">
        <v>1</v>
      </c>
      <c r="BE43" s="82"/>
      <c r="BF43" s="82"/>
      <c r="BG43" s="82">
        <v>1</v>
      </c>
      <c r="BH43" s="131">
        <f t="shared" si="83"/>
        <v>0.0053</v>
      </c>
      <c r="BI43" s="97">
        <f t="shared" si="62"/>
        <v>4.2</v>
      </c>
      <c r="BJ43" s="98"/>
      <c r="BK43" s="99"/>
      <c r="BL43" s="116"/>
      <c r="BM43" s="186"/>
      <c r="BN43" s="187"/>
      <c r="BO43" s="186"/>
      <c r="BP43" s="186">
        <f t="shared" si="87"/>
        <v>4.2</v>
      </c>
      <c r="BQ43" s="98">
        <v>53</v>
      </c>
      <c r="BR43" s="116">
        <f t="shared" si="44"/>
        <v>0.0137483787289235</v>
      </c>
      <c r="BS43" s="188">
        <f t="shared" si="52"/>
        <v>8.74</v>
      </c>
      <c r="BT43" s="189">
        <v>1</v>
      </c>
      <c r="BU43" s="189"/>
      <c r="BV43" s="194">
        <v>1</v>
      </c>
      <c r="BW43" s="116">
        <f t="shared" si="84"/>
        <v>0.0114776346766376</v>
      </c>
      <c r="BX43" s="188">
        <f t="shared" si="85"/>
        <v>1.1</v>
      </c>
      <c r="BY43" s="195"/>
      <c r="BZ43" s="196"/>
      <c r="CA43" s="188"/>
      <c r="CB43" s="200"/>
      <c r="CC43" s="84">
        <v>0</v>
      </c>
      <c r="CD43" s="208">
        <f t="shared" si="88"/>
        <v>68.09</v>
      </c>
      <c r="CE43" s="45"/>
      <c r="CF43" s="44"/>
    </row>
    <row r="44" s="43" customFormat="1" ht="12" customHeight="1" spans="1:84">
      <c r="A44" s="94" t="s">
        <v>139</v>
      </c>
      <c r="B44" s="95">
        <v>105446</v>
      </c>
      <c r="C44" s="96">
        <f t="shared" si="69"/>
        <v>0.0063</v>
      </c>
      <c r="D44" s="97">
        <f t="shared" si="70"/>
        <v>1.29</v>
      </c>
      <c r="E44" s="98">
        <v>53</v>
      </c>
      <c r="F44" s="99">
        <v>7404</v>
      </c>
      <c r="G44" s="100">
        <f t="shared" si="71"/>
        <v>0.0056</v>
      </c>
      <c r="H44" s="101">
        <f t="shared" si="72"/>
        <v>16.08</v>
      </c>
      <c r="I44" s="115"/>
      <c r="J44" s="115"/>
      <c r="K44" s="115"/>
      <c r="L44" s="115">
        <v>111</v>
      </c>
      <c r="M44" s="116">
        <f t="shared" si="73"/>
        <v>0.0018</v>
      </c>
      <c r="N44" s="101">
        <f t="shared" si="49"/>
        <v>1.27</v>
      </c>
      <c r="O44" s="101"/>
      <c r="P44" s="101">
        <f t="shared" si="86"/>
        <v>1.27</v>
      </c>
      <c r="Q44" s="121">
        <v>0</v>
      </c>
      <c r="R44" s="130">
        <v>0</v>
      </c>
      <c r="S44" s="123">
        <f t="shared" si="74"/>
        <v>0</v>
      </c>
      <c r="T44" s="123">
        <f t="shared" si="57"/>
        <v>0</v>
      </c>
      <c r="U44" s="116">
        <f t="shared" si="75"/>
        <v>0</v>
      </c>
      <c r="V44" s="101">
        <f t="shared" si="76"/>
        <v>0</v>
      </c>
      <c r="W44" s="131"/>
      <c r="X44" s="125"/>
      <c r="Y44" s="125"/>
      <c r="Z44" s="82"/>
      <c r="AA44" s="82"/>
      <c r="AB44" s="82"/>
      <c r="AC44" s="82"/>
      <c r="AD44" s="142">
        <f t="shared" si="77"/>
        <v>0</v>
      </c>
      <c r="AE44" s="84">
        <f t="shared" si="78"/>
        <v>0</v>
      </c>
      <c r="AF44" s="98">
        <v>1</v>
      </c>
      <c r="AG44" s="98"/>
      <c r="AH44" s="98"/>
      <c r="AI44" s="98"/>
      <c r="AJ44" s="98"/>
      <c r="AK44" s="98"/>
      <c r="AL44" s="98"/>
      <c r="AM44" s="98"/>
      <c r="AN44" s="147">
        <v>0.0027</v>
      </c>
      <c r="AO44" s="97">
        <f t="shared" si="60"/>
        <v>0.51</v>
      </c>
      <c r="AP44" s="155">
        <v>1</v>
      </c>
      <c r="AQ44" s="156">
        <v>247</v>
      </c>
      <c r="AR44" s="96">
        <f t="shared" si="79"/>
        <v>0.00176979086281565</v>
      </c>
      <c r="AS44" s="97">
        <f t="shared" si="80"/>
        <v>0.66</v>
      </c>
      <c r="AT44" s="157">
        <v>3083</v>
      </c>
      <c r="AU44" s="157">
        <v>84</v>
      </c>
      <c r="AV44" s="157">
        <v>42</v>
      </c>
      <c r="AW44" s="174"/>
      <c r="AX44" s="174"/>
      <c r="AY44" s="96">
        <f t="shared" si="81"/>
        <v>0.00476803482771397</v>
      </c>
      <c r="AZ44" s="97">
        <f t="shared" si="82"/>
        <v>6.48</v>
      </c>
      <c r="BA44" s="82"/>
      <c r="BB44" s="82"/>
      <c r="BC44" s="82"/>
      <c r="BD44" s="82">
        <v>1</v>
      </c>
      <c r="BE44" s="82"/>
      <c r="BF44" s="82"/>
      <c r="BG44" s="82"/>
      <c r="BH44" s="131">
        <f t="shared" si="83"/>
        <v>0.0015</v>
      </c>
      <c r="BI44" s="97">
        <f t="shared" si="62"/>
        <v>1.19</v>
      </c>
      <c r="BJ44" s="98"/>
      <c r="BK44" s="99"/>
      <c r="BL44" s="116"/>
      <c r="BM44" s="186"/>
      <c r="BN44" s="187"/>
      <c r="BO44" s="186"/>
      <c r="BP44" s="186">
        <f t="shared" si="87"/>
        <v>1.19</v>
      </c>
      <c r="BQ44" s="98">
        <v>53</v>
      </c>
      <c r="BR44" s="116">
        <f t="shared" si="44"/>
        <v>0.0137483787289235</v>
      </c>
      <c r="BS44" s="188">
        <f t="shared" si="52"/>
        <v>8.74</v>
      </c>
      <c r="BT44" s="189">
        <v>1</v>
      </c>
      <c r="BU44" s="189"/>
      <c r="BV44" s="194">
        <v>1</v>
      </c>
      <c r="BW44" s="116">
        <f t="shared" si="84"/>
        <v>0.0114776346766376</v>
      </c>
      <c r="BX44" s="188">
        <f t="shared" si="85"/>
        <v>1.1</v>
      </c>
      <c r="BY44" s="195"/>
      <c r="BZ44" s="196"/>
      <c r="CA44" s="188"/>
      <c r="CB44" s="200"/>
      <c r="CC44" s="84">
        <v>0</v>
      </c>
      <c r="CD44" s="208">
        <f t="shared" si="88"/>
        <v>37.32</v>
      </c>
      <c r="CE44" s="45"/>
      <c r="CF44" s="44"/>
    </row>
    <row r="45" s="43" customFormat="1" ht="12" customHeight="1" spans="1:84">
      <c r="A45" s="94" t="s">
        <v>140</v>
      </c>
      <c r="B45" s="95">
        <v>65607</v>
      </c>
      <c r="C45" s="96">
        <f t="shared" si="69"/>
        <v>0.0039</v>
      </c>
      <c r="D45" s="97">
        <f t="shared" si="70"/>
        <v>0.8</v>
      </c>
      <c r="E45" s="98">
        <v>36</v>
      </c>
      <c r="F45" s="99">
        <v>6342</v>
      </c>
      <c r="G45" s="100">
        <f t="shared" si="71"/>
        <v>0.0046</v>
      </c>
      <c r="H45" s="101">
        <f t="shared" si="72"/>
        <v>13.21</v>
      </c>
      <c r="I45" s="115"/>
      <c r="J45" s="115"/>
      <c r="K45" s="115"/>
      <c r="L45" s="115">
        <v>73</v>
      </c>
      <c r="M45" s="116">
        <f t="shared" si="73"/>
        <v>0.0012</v>
      </c>
      <c r="N45" s="101">
        <f t="shared" si="49"/>
        <v>0.84</v>
      </c>
      <c r="O45" s="101"/>
      <c r="P45" s="101">
        <f t="shared" si="86"/>
        <v>0.84</v>
      </c>
      <c r="Q45" s="121">
        <v>0</v>
      </c>
      <c r="R45" s="130">
        <v>0</v>
      </c>
      <c r="S45" s="123">
        <f t="shared" si="74"/>
        <v>0</v>
      </c>
      <c r="T45" s="123">
        <f t="shared" si="57"/>
        <v>0</v>
      </c>
      <c r="U45" s="116">
        <f t="shared" si="75"/>
        <v>0</v>
      </c>
      <c r="V45" s="101">
        <f t="shared" si="76"/>
        <v>0</v>
      </c>
      <c r="W45" s="131"/>
      <c r="X45" s="125"/>
      <c r="Y45" s="125"/>
      <c r="Z45" s="82"/>
      <c r="AA45" s="82"/>
      <c r="AB45" s="82"/>
      <c r="AC45" s="82"/>
      <c r="AD45" s="142">
        <f t="shared" si="77"/>
        <v>0</v>
      </c>
      <c r="AE45" s="84">
        <f t="shared" si="78"/>
        <v>0</v>
      </c>
      <c r="AF45" s="98">
        <v>1</v>
      </c>
      <c r="AG45" s="98"/>
      <c r="AH45" s="98"/>
      <c r="AI45" s="98"/>
      <c r="AJ45" s="98"/>
      <c r="AK45" s="98"/>
      <c r="AL45" s="98"/>
      <c r="AM45" s="98"/>
      <c r="AN45" s="147">
        <v>0.0027</v>
      </c>
      <c r="AO45" s="97">
        <f t="shared" si="60"/>
        <v>0.51</v>
      </c>
      <c r="AP45" s="155">
        <v>2</v>
      </c>
      <c r="AQ45" s="156">
        <v>188</v>
      </c>
      <c r="AR45" s="96">
        <f t="shared" si="79"/>
        <v>0.00279466287553282</v>
      </c>
      <c r="AS45" s="97">
        <f t="shared" si="80"/>
        <v>1.04</v>
      </c>
      <c r="AT45" s="157">
        <v>2358</v>
      </c>
      <c r="AU45" s="157">
        <v>80</v>
      </c>
      <c r="AV45" s="157">
        <v>40</v>
      </c>
      <c r="AW45" s="174"/>
      <c r="AX45" s="174"/>
      <c r="AY45" s="96">
        <f t="shared" si="81"/>
        <v>0.00417209188588366</v>
      </c>
      <c r="AZ45" s="97">
        <f t="shared" si="82"/>
        <v>5.67</v>
      </c>
      <c r="BA45" s="82"/>
      <c r="BB45" s="82"/>
      <c r="BC45" s="82"/>
      <c r="BD45" s="82">
        <v>1</v>
      </c>
      <c r="BE45" s="82"/>
      <c r="BF45" s="82"/>
      <c r="BG45" s="82">
        <v>1</v>
      </c>
      <c r="BH45" s="131">
        <f t="shared" si="83"/>
        <v>0.0053</v>
      </c>
      <c r="BI45" s="97">
        <f t="shared" si="62"/>
        <v>4.2</v>
      </c>
      <c r="BJ45" s="98"/>
      <c r="BK45" s="99"/>
      <c r="BL45" s="116"/>
      <c r="BM45" s="186"/>
      <c r="BN45" s="187"/>
      <c r="BO45" s="186"/>
      <c r="BP45" s="186">
        <f t="shared" si="87"/>
        <v>4.2</v>
      </c>
      <c r="BQ45" s="98">
        <v>47</v>
      </c>
      <c r="BR45" s="116">
        <f t="shared" si="44"/>
        <v>0.0121919584954604</v>
      </c>
      <c r="BS45" s="188">
        <f t="shared" si="52"/>
        <v>7.75</v>
      </c>
      <c r="BT45" s="189">
        <v>1</v>
      </c>
      <c r="BU45" s="189"/>
      <c r="BV45" s="194">
        <v>1</v>
      </c>
      <c r="BW45" s="116">
        <f t="shared" si="84"/>
        <v>0.0114776346766376</v>
      </c>
      <c r="BX45" s="188">
        <f t="shared" si="85"/>
        <v>1.1</v>
      </c>
      <c r="BY45" s="195"/>
      <c r="BZ45" s="196"/>
      <c r="CA45" s="188"/>
      <c r="CB45" s="200"/>
      <c r="CC45" s="84">
        <v>0</v>
      </c>
      <c r="CD45" s="208">
        <f t="shared" si="88"/>
        <v>35.12</v>
      </c>
      <c r="CE45" s="45"/>
      <c r="CF45" s="44"/>
    </row>
    <row r="46" s="43" customFormat="1" ht="12" customHeight="1" spans="1:84">
      <c r="A46" s="94" t="s">
        <v>141</v>
      </c>
      <c r="B46" s="95">
        <v>323770</v>
      </c>
      <c r="C46" s="96">
        <f t="shared" si="69"/>
        <v>0.0193</v>
      </c>
      <c r="D46" s="97">
        <f t="shared" si="70"/>
        <v>3.96</v>
      </c>
      <c r="E46" s="98">
        <v>461</v>
      </c>
      <c r="F46" s="99">
        <v>11508</v>
      </c>
      <c r="G46" s="100">
        <f t="shared" si="71"/>
        <v>0.0152</v>
      </c>
      <c r="H46" s="101">
        <f t="shared" si="72"/>
        <v>43.65</v>
      </c>
      <c r="I46" s="115"/>
      <c r="J46" s="115"/>
      <c r="K46" s="115"/>
      <c r="L46" s="115">
        <v>115</v>
      </c>
      <c r="M46" s="116">
        <f t="shared" si="73"/>
        <v>0.0018</v>
      </c>
      <c r="N46" s="101">
        <f t="shared" si="49"/>
        <v>1.27</v>
      </c>
      <c r="O46" s="101"/>
      <c r="P46" s="101">
        <f t="shared" si="86"/>
        <v>1.27</v>
      </c>
      <c r="Q46" s="121">
        <v>0</v>
      </c>
      <c r="R46" s="130">
        <v>0</v>
      </c>
      <c r="S46" s="123">
        <f t="shared" si="74"/>
        <v>0</v>
      </c>
      <c r="T46" s="123">
        <f t="shared" si="57"/>
        <v>0</v>
      </c>
      <c r="U46" s="116">
        <f t="shared" si="75"/>
        <v>0</v>
      </c>
      <c r="V46" s="101">
        <f t="shared" si="76"/>
        <v>0</v>
      </c>
      <c r="W46" s="131"/>
      <c r="X46" s="125"/>
      <c r="Y46" s="125">
        <v>1</v>
      </c>
      <c r="Z46" s="82"/>
      <c r="AA46" s="82"/>
      <c r="AB46" s="82"/>
      <c r="AC46" s="82"/>
      <c r="AD46" s="142">
        <f t="shared" si="77"/>
        <v>0.0083</v>
      </c>
      <c r="AE46" s="84">
        <f t="shared" si="78"/>
        <v>2.48</v>
      </c>
      <c r="AF46" s="98">
        <v>1</v>
      </c>
      <c r="AG46" s="98"/>
      <c r="AH46" s="98"/>
      <c r="AI46" s="98"/>
      <c r="AJ46" s="98"/>
      <c r="AK46" s="98"/>
      <c r="AL46" s="98"/>
      <c r="AM46" s="98"/>
      <c r="AN46" s="147">
        <v>0.0027</v>
      </c>
      <c r="AO46" s="97">
        <f t="shared" si="60"/>
        <v>0.51</v>
      </c>
      <c r="AP46" s="155">
        <v>24</v>
      </c>
      <c r="AQ46" s="156">
        <v>535</v>
      </c>
      <c r="AR46" s="96">
        <f t="shared" si="79"/>
        <v>0.0293463945684218</v>
      </c>
      <c r="AS46" s="97">
        <f t="shared" si="80"/>
        <v>10.97</v>
      </c>
      <c r="AT46" s="157">
        <v>6111</v>
      </c>
      <c r="AU46" s="157">
        <v>88</v>
      </c>
      <c r="AV46" s="157">
        <v>44</v>
      </c>
      <c r="AW46" s="174"/>
      <c r="AX46" s="174"/>
      <c r="AY46" s="96">
        <f t="shared" si="81"/>
        <v>0.00683332419414598</v>
      </c>
      <c r="AZ46" s="97">
        <f t="shared" si="82"/>
        <v>9.29</v>
      </c>
      <c r="BA46" s="82"/>
      <c r="BB46" s="82"/>
      <c r="BC46" s="82"/>
      <c r="BD46" s="82">
        <v>1</v>
      </c>
      <c r="BE46" s="82"/>
      <c r="BF46" s="82"/>
      <c r="BG46" s="82"/>
      <c r="BH46" s="131">
        <f t="shared" si="83"/>
        <v>0.0015</v>
      </c>
      <c r="BI46" s="97">
        <f t="shared" si="62"/>
        <v>1.19</v>
      </c>
      <c r="BJ46" s="98">
        <v>250</v>
      </c>
      <c r="BK46" s="99"/>
      <c r="BL46" s="116">
        <f>ROUND((BJ46*0.0035+BK46*0.003)/148,4)</f>
        <v>0.0059</v>
      </c>
      <c r="BM46" s="186">
        <f>ROUND(125*BL46,2)</f>
        <v>0.74</v>
      </c>
      <c r="BN46" s="187"/>
      <c r="BO46" s="186"/>
      <c r="BP46" s="186">
        <f t="shared" si="87"/>
        <v>1.93</v>
      </c>
      <c r="BQ46" s="98">
        <v>53</v>
      </c>
      <c r="BR46" s="116">
        <f t="shared" si="44"/>
        <v>0.0137483787289235</v>
      </c>
      <c r="BS46" s="188">
        <f t="shared" si="52"/>
        <v>8.74</v>
      </c>
      <c r="BT46" s="189"/>
      <c r="BU46" s="189">
        <v>1</v>
      </c>
      <c r="BV46" s="194">
        <v>1</v>
      </c>
      <c r="BW46" s="116">
        <f t="shared" si="84"/>
        <v>0.00628352490421456</v>
      </c>
      <c r="BX46" s="188">
        <f t="shared" si="85"/>
        <v>0.6</v>
      </c>
      <c r="BY46" s="195"/>
      <c r="BZ46" s="196"/>
      <c r="CA46" s="188"/>
      <c r="CB46" s="200"/>
      <c r="CC46" s="84">
        <v>0</v>
      </c>
      <c r="CD46" s="208">
        <f t="shared" si="88"/>
        <v>83.4</v>
      </c>
      <c r="CE46" s="45"/>
      <c r="CF46" s="44"/>
    </row>
    <row r="47" s="43" customFormat="1" ht="12" customHeight="1" spans="1:84">
      <c r="A47" s="94" t="s">
        <v>142</v>
      </c>
      <c r="B47" s="95">
        <v>76572</v>
      </c>
      <c r="C47" s="96">
        <f t="shared" si="69"/>
        <v>0.0046</v>
      </c>
      <c r="D47" s="97">
        <f t="shared" si="70"/>
        <v>0.94</v>
      </c>
      <c r="E47" s="98">
        <v>35</v>
      </c>
      <c r="F47" s="99">
        <v>3321</v>
      </c>
      <c r="G47" s="100">
        <f t="shared" si="71"/>
        <v>0.0027</v>
      </c>
      <c r="H47" s="101">
        <f t="shared" si="72"/>
        <v>7.75</v>
      </c>
      <c r="I47" s="115"/>
      <c r="J47" s="115"/>
      <c r="K47" s="115"/>
      <c r="L47" s="115">
        <v>32</v>
      </c>
      <c r="M47" s="116">
        <f t="shared" si="73"/>
        <v>0.0005</v>
      </c>
      <c r="N47" s="101">
        <f t="shared" si="49"/>
        <v>0.35</v>
      </c>
      <c r="O47" s="101"/>
      <c r="P47" s="101">
        <f t="shared" si="86"/>
        <v>0.35</v>
      </c>
      <c r="Q47" s="121">
        <v>0</v>
      </c>
      <c r="R47" s="130">
        <v>0</v>
      </c>
      <c r="S47" s="123">
        <f t="shared" si="74"/>
        <v>0</v>
      </c>
      <c r="T47" s="123">
        <f t="shared" si="57"/>
        <v>0</v>
      </c>
      <c r="U47" s="116">
        <f t="shared" si="75"/>
        <v>0</v>
      </c>
      <c r="V47" s="101">
        <f t="shared" si="76"/>
        <v>0</v>
      </c>
      <c r="W47" s="131"/>
      <c r="X47" s="125">
        <v>1</v>
      </c>
      <c r="Y47" s="125"/>
      <c r="Z47" s="82"/>
      <c r="AA47" s="82"/>
      <c r="AB47" s="82"/>
      <c r="AC47" s="82"/>
      <c r="AD47" s="142">
        <f t="shared" si="77"/>
        <v>0.0083</v>
      </c>
      <c r="AE47" s="84">
        <f t="shared" si="78"/>
        <v>2.48</v>
      </c>
      <c r="AF47" s="98">
        <v>1</v>
      </c>
      <c r="AG47" s="98"/>
      <c r="AH47" s="98"/>
      <c r="AI47" s="98"/>
      <c r="AJ47" s="98"/>
      <c r="AK47" s="98"/>
      <c r="AL47" s="98"/>
      <c r="AM47" s="98"/>
      <c r="AN47" s="147">
        <v>0.0027</v>
      </c>
      <c r="AO47" s="97">
        <f t="shared" si="60"/>
        <v>0.51</v>
      </c>
      <c r="AP47" s="163"/>
      <c r="AQ47" s="156">
        <v>146</v>
      </c>
      <c r="AR47" s="96">
        <f t="shared" si="79"/>
        <v>0.000355418797759401</v>
      </c>
      <c r="AS47" s="97">
        <f t="shared" si="80"/>
        <v>0.13</v>
      </c>
      <c r="AT47" s="157">
        <v>1900</v>
      </c>
      <c r="AU47" s="157">
        <v>32</v>
      </c>
      <c r="AV47" s="157">
        <v>16</v>
      </c>
      <c r="AW47" s="174"/>
      <c r="AX47" s="174"/>
      <c r="AY47" s="96">
        <f t="shared" si="81"/>
        <v>0.00227928862541682</v>
      </c>
      <c r="AZ47" s="97">
        <f t="shared" si="82"/>
        <v>3.1</v>
      </c>
      <c r="BA47" s="82"/>
      <c r="BB47" s="82"/>
      <c r="BC47" s="82"/>
      <c r="BD47" s="82">
        <v>1</v>
      </c>
      <c r="BE47" s="82"/>
      <c r="BF47" s="82"/>
      <c r="BG47" s="82">
        <v>1</v>
      </c>
      <c r="BH47" s="131">
        <f t="shared" si="83"/>
        <v>0.0053</v>
      </c>
      <c r="BI47" s="97">
        <f t="shared" si="62"/>
        <v>4.2</v>
      </c>
      <c r="BJ47" s="98"/>
      <c r="BK47" s="99"/>
      <c r="BL47" s="116"/>
      <c r="BM47" s="186"/>
      <c r="BN47" s="187"/>
      <c r="BO47" s="186"/>
      <c r="BP47" s="186">
        <f t="shared" si="87"/>
        <v>4.2</v>
      </c>
      <c r="BQ47" s="98">
        <v>31</v>
      </c>
      <c r="BR47" s="116">
        <f t="shared" si="44"/>
        <v>0.00804150453955901</v>
      </c>
      <c r="BS47" s="188">
        <f t="shared" si="52"/>
        <v>5.11</v>
      </c>
      <c r="BT47" s="189">
        <v>1</v>
      </c>
      <c r="BU47" s="189"/>
      <c r="BV47" s="194">
        <v>1</v>
      </c>
      <c r="BW47" s="116">
        <f t="shared" si="84"/>
        <v>0.0114776346766376</v>
      </c>
      <c r="BX47" s="188">
        <f t="shared" si="85"/>
        <v>1.1</v>
      </c>
      <c r="BY47" s="195"/>
      <c r="BZ47" s="196"/>
      <c r="CA47" s="188"/>
      <c r="CB47" s="200"/>
      <c r="CC47" s="84">
        <v>0</v>
      </c>
      <c r="CD47" s="208">
        <f t="shared" si="88"/>
        <v>25.67</v>
      </c>
      <c r="CE47" s="45"/>
      <c r="CF47" s="44"/>
    </row>
    <row r="48" s="43" customFormat="1" ht="12" customHeight="1" spans="1:84">
      <c r="A48" s="94" t="s">
        <v>143</v>
      </c>
      <c r="B48" s="95">
        <v>373733</v>
      </c>
      <c r="C48" s="96">
        <f t="shared" si="69"/>
        <v>0.0222</v>
      </c>
      <c r="D48" s="97">
        <f t="shared" si="70"/>
        <v>4.55</v>
      </c>
      <c r="E48" s="98">
        <v>545</v>
      </c>
      <c r="F48" s="99">
        <v>13819</v>
      </c>
      <c r="G48" s="100">
        <f t="shared" si="71"/>
        <v>0.0181</v>
      </c>
      <c r="H48" s="101">
        <f t="shared" si="72"/>
        <v>51.98</v>
      </c>
      <c r="I48" s="115"/>
      <c r="J48" s="115"/>
      <c r="K48" s="115"/>
      <c r="L48" s="115">
        <v>255</v>
      </c>
      <c r="M48" s="116">
        <f t="shared" si="73"/>
        <v>0.0041</v>
      </c>
      <c r="N48" s="101">
        <f t="shared" si="49"/>
        <v>2.88</v>
      </c>
      <c r="O48" s="101"/>
      <c r="P48" s="101">
        <f t="shared" si="86"/>
        <v>2.88</v>
      </c>
      <c r="Q48" s="121">
        <v>0</v>
      </c>
      <c r="R48" s="130">
        <v>0</v>
      </c>
      <c r="S48" s="123">
        <f t="shared" si="74"/>
        <v>0</v>
      </c>
      <c r="T48" s="123">
        <f t="shared" si="57"/>
        <v>0</v>
      </c>
      <c r="U48" s="116">
        <f t="shared" si="75"/>
        <v>0</v>
      </c>
      <c r="V48" s="101">
        <f t="shared" si="76"/>
        <v>0</v>
      </c>
      <c r="W48" s="131"/>
      <c r="X48" s="125"/>
      <c r="Y48" s="125"/>
      <c r="Z48" s="82"/>
      <c r="AA48" s="82"/>
      <c r="AB48" s="82"/>
      <c r="AC48" s="82"/>
      <c r="AD48" s="142">
        <f t="shared" si="77"/>
        <v>0</v>
      </c>
      <c r="AE48" s="84">
        <f t="shared" si="78"/>
        <v>0</v>
      </c>
      <c r="AF48" s="98">
        <v>1</v>
      </c>
      <c r="AG48" s="98"/>
      <c r="AH48" s="98"/>
      <c r="AI48" s="98"/>
      <c r="AJ48" s="98"/>
      <c r="AK48" s="98"/>
      <c r="AL48" s="98"/>
      <c r="AM48" s="98"/>
      <c r="AN48" s="147">
        <v>0.0027</v>
      </c>
      <c r="AO48" s="97">
        <f t="shared" si="60"/>
        <v>0.51</v>
      </c>
      <c r="AP48" s="164">
        <v>51</v>
      </c>
      <c r="AQ48" s="156">
        <v>688</v>
      </c>
      <c r="AR48" s="96">
        <f t="shared" si="79"/>
        <v>0.0612683582329356</v>
      </c>
      <c r="AS48" s="97">
        <f t="shared" si="80"/>
        <v>22.9</v>
      </c>
      <c r="AT48" s="157">
        <v>7572</v>
      </c>
      <c r="AU48" s="157">
        <v>80</v>
      </c>
      <c r="AV48" s="157">
        <v>40</v>
      </c>
      <c r="AW48" s="158"/>
      <c r="AX48" s="158"/>
      <c r="AY48" s="96">
        <f t="shared" si="81"/>
        <v>0.00749869729529455</v>
      </c>
      <c r="AZ48" s="97">
        <f t="shared" si="82"/>
        <v>10.19</v>
      </c>
      <c r="BA48" s="82"/>
      <c r="BB48" s="82"/>
      <c r="BC48" s="82"/>
      <c r="BD48" s="82">
        <v>1</v>
      </c>
      <c r="BE48" s="82"/>
      <c r="BF48" s="82"/>
      <c r="BG48" s="82">
        <v>1</v>
      </c>
      <c r="BH48" s="131">
        <f t="shared" si="83"/>
        <v>0.0053</v>
      </c>
      <c r="BI48" s="97">
        <f t="shared" si="62"/>
        <v>4.2</v>
      </c>
      <c r="BJ48" s="98">
        <v>250</v>
      </c>
      <c r="BK48" s="99"/>
      <c r="BL48" s="116">
        <f>ROUND((BJ48*0.0035+BK48*0.003)/148,4)</f>
        <v>0.0059</v>
      </c>
      <c r="BM48" s="186">
        <f>ROUND(125*BL48,2)</f>
        <v>0.74</v>
      </c>
      <c r="BN48" s="187"/>
      <c r="BO48" s="186"/>
      <c r="BP48" s="186">
        <f t="shared" si="87"/>
        <v>4.94</v>
      </c>
      <c r="BQ48" s="98">
        <v>63</v>
      </c>
      <c r="BR48" s="116">
        <f t="shared" si="44"/>
        <v>0.0163424124513619</v>
      </c>
      <c r="BS48" s="188">
        <f t="shared" si="52"/>
        <v>10.39</v>
      </c>
      <c r="BT48" s="189">
        <v>1</v>
      </c>
      <c r="BU48" s="189"/>
      <c r="BV48" s="194">
        <v>1</v>
      </c>
      <c r="BW48" s="116">
        <f t="shared" si="84"/>
        <v>0.0114776346766376</v>
      </c>
      <c r="BX48" s="188">
        <f t="shared" si="85"/>
        <v>1.1</v>
      </c>
      <c r="BY48" s="195"/>
      <c r="BZ48" s="196"/>
      <c r="CA48" s="188"/>
      <c r="CB48" s="200"/>
      <c r="CC48" s="84">
        <v>3</v>
      </c>
      <c r="CD48" s="208">
        <f t="shared" si="88"/>
        <v>112.44</v>
      </c>
      <c r="CE48" s="45"/>
      <c r="CF48" s="44"/>
    </row>
    <row r="49" s="43" customFormat="1" ht="12" customHeight="1" spans="1:84">
      <c r="A49" s="94" t="s">
        <v>144</v>
      </c>
      <c r="B49" s="95">
        <v>213523</v>
      </c>
      <c r="C49" s="96">
        <f t="shared" si="69"/>
        <v>0.0127</v>
      </c>
      <c r="D49" s="97">
        <f t="shared" si="70"/>
        <v>2.6</v>
      </c>
      <c r="E49" s="98">
        <v>644</v>
      </c>
      <c r="F49" s="99">
        <v>9122</v>
      </c>
      <c r="G49" s="100">
        <f t="shared" si="71"/>
        <v>0.0169</v>
      </c>
      <c r="H49" s="101">
        <f t="shared" si="72"/>
        <v>48.54</v>
      </c>
      <c r="I49" s="115"/>
      <c r="J49" s="115"/>
      <c r="K49" s="115"/>
      <c r="L49" s="115">
        <v>287</v>
      </c>
      <c r="M49" s="116">
        <f t="shared" si="73"/>
        <v>0.0046</v>
      </c>
      <c r="N49" s="101">
        <f t="shared" si="49"/>
        <v>3.24</v>
      </c>
      <c r="O49" s="101"/>
      <c r="P49" s="101">
        <f t="shared" si="86"/>
        <v>3.24</v>
      </c>
      <c r="Q49" s="121">
        <v>0</v>
      </c>
      <c r="R49" s="130">
        <v>0</v>
      </c>
      <c r="S49" s="123">
        <f t="shared" si="74"/>
        <v>0</v>
      </c>
      <c r="T49" s="123">
        <f t="shared" si="57"/>
        <v>0</v>
      </c>
      <c r="U49" s="116">
        <f t="shared" si="75"/>
        <v>0</v>
      </c>
      <c r="V49" s="101">
        <f t="shared" si="76"/>
        <v>0</v>
      </c>
      <c r="W49" s="131"/>
      <c r="X49" s="125"/>
      <c r="Y49" s="125"/>
      <c r="Z49" s="82"/>
      <c r="AA49" s="82"/>
      <c r="AB49" s="82"/>
      <c r="AC49" s="82"/>
      <c r="AD49" s="142">
        <f t="shared" si="77"/>
        <v>0</v>
      </c>
      <c r="AE49" s="84">
        <f t="shared" si="78"/>
        <v>0</v>
      </c>
      <c r="AF49" s="98">
        <v>1</v>
      </c>
      <c r="AG49" s="98"/>
      <c r="AH49" s="98"/>
      <c r="AI49" s="98"/>
      <c r="AJ49" s="98"/>
      <c r="AK49" s="98">
        <v>1</v>
      </c>
      <c r="AL49" s="98"/>
      <c r="AM49" s="98"/>
      <c r="AN49" s="147">
        <v>0.0053</v>
      </c>
      <c r="AO49" s="97">
        <f t="shared" si="60"/>
        <v>1.01</v>
      </c>
      <c r="AP49" s="164">
        <v>14</v>
      </c>
      <c r="AQ49" s="156">
        <v>406</v>
      </c>
      <c r="AR49" s="96">
        <f t="shared" si="79"/>
        <v>0.0173473585810513</v>
      </c>
      <c r="AS49" s="97">
        <f t="shared" si="80"/>
        <v>6.48</v>
      </c>
      <c r="AT49" s="157">
        <v>4317</v>
      </c>
      <c r="AU49" s="157">
        <v>68</v>
      </c>
      <c r="AV49" s="157">
        <v>34</v>
      </c>
      <c r="AW49" s="174"/>
      <c r="AX49" s="174"/>
      <c r="AY49" s="96">
        <f t="shared" si="81"/>
        <v>0.00502181326417192</v>
      </c>
      <c r="AZ49" s="97">
        <f t="shared" si="82"/>
        <v>6.82</v>
      </c>
      <c r="BA49" s="82"/>
      <c r="BB49" s="82"/>
      <c r="BC49" s="82"/>
      <c r="BD49" s="82">
        <v>1</v>
      </c>
      <c r="BE49" s="82"/>
      <c r="BF49" s="82"/>
      <c r="BG49" s="82"/>
      <c r="BH49" s="131">
        <f t="shared" si="83"/>
        <v>0.0015</v>
      </c>
      <c r="BI49" s="97">
        <f t="shared" si="62"/>
        <v>1.19</v>
      </c>
      <c r="BJ49" s="98">
        <v>500</v>
      </c>
      <c r="BK49" s="99"/>
      <c r="BL49" s="116">
        <f>ROUND((BJ49*0.0035+BK49*0.003)/148,4)</f>
        <v>0.0118</v>
      </c>
      <c r="BM49" s="186">
        <f>ROUND(125*BL49,2)</f>
        <v>1.48</v>
      </c>
      <c r="BN49" s="187"/>
      <c r="BO49" s="186"/>
      <c r="BP49" s="186">
        <f t="shared" si="87"/>
        <v>2.67</v>
      </c>
      <c r="BQ49" s="98">
        <v>53</v>
      </c>
      <c r="BR49" s="116">
        <f t="shared" si="44"/>
        <v>0.0137483787289235</v>
      </c>
      <c r="BS49" s="188">
        <f t="shared" si="52"/>
        <v>8.74</v>
      </c>
      <c r="BT49" s="189"/>
      <c r="BU49" s="189"/>
      <c r="BV49" s="194">
        <v>1</v>
      </c>
      <c r="BW49" s="116">
        <f t="shared" si="84"/>
        <v>0.00183908045977011</v>
      </c>
      <c r="BX49" s="188">
        <f t="shared" si="85"/>
        <v>0.18</v>
      </c>
      <c r="BY49" s="195"/>
      <c r="BZ49" s="196"/>
      <c r="CA49" s="188"/>
      <c r="CB49" s="200"/>
      <c r="CC49" s="84">
        <v>0</v>
      </c>
      <c r="CD49" s="208">
        <f t="shared" si="88"/>
        <v>80.28</v>
      </c>
      <c r="CE49" s="45"/>
      <c r="CF49" s="44"/>
    </row>
    <row r="50" s="43" customFormat="1" ht="12" customHeight="1" spans="1:84">
      <c r="A50" s="94" t="s">
        <v>145</v>
      </c>
      <c r="B50" s="95">
        <v>211556</v>
      </c>
      <c r="C50" s="96">
        <f t="shared" si="69"/>
        <v>0.0126</v>
      </c>
      <c r="D50" s="97">
        <f t="shared" si="70"/>
        <v>2.58</v>
      </c>
      <c r="E50" s="98">
        <v>532</v>
      </c>
      <c r="F50" s="99">
        <v>14306</v>
      </c>
      <c r="G50" s="100">
        <f t="shared" si="71"/>
        <v>0.0182</v>
      </c>
      <c r="H50" s="101">
        <f t="shared" si="72"/>
        <v>52.27</v>
      </c>
      <c r="I50" s="115"/>
      <c r="J50" s="115"/>
      <c r="K50" s="115"/>
      <c r="L50" s="115">
        <v>194</v>
      </c>
      <c r="M50" s="116">
        <f t="shared" si="73"/>
        <v>0.0031</v>
      </c>
      <c r="N50" s="101">
        <f t="shared" si="49"/>
        <v>2.18</v>
      </c>
      <c r="O50" s="101"/>
      <c r="P50" s="101">
        <f t="shared" si="86"/>
        <v>2.18</v>
      </c>
      <c r="Q50" s="121">
        <v>0</v>
      </c>
      <c r="R50" s="130">
        <v>0</v>
      </c>
      <c r="S50" s="123">
        <f t="shared" si="74"/>
        <v>0</v>
      </c>
      <c r="T50" s="123">
        <f t="shared" si="57"/>
        <v>0</v>
      </c>
      <c r="U50" s="116">
        <f t="shared" si="75"/>
        <v>0</v>
      </c>
      <c r="V50" s="101">
        <f t="shared" si="76"/>
        <v>0</v>
      </c>
      <c r="W50" s="131"/>
      <c r="X50" s="125"/>
      <c r="Y50" s="125"/>
      <c r="Z50" s="82"/>
      <c r="AA50" s="82"/>
      <c r="AB50" s="82"/>
      <c r="AC50" s="82"/>
      <c r="AD50" s="142">
        <f t="shared" si="77"/>
        <v>0</v>
      </c>
      <c r="AE50" s="84">
        <f t="shared" si="78"/>
        <v>0</v>
      </c>
      <c r="AF50" s="98">
        <v>1</v>
      </c>
      <c r="AG50" s="98"/>
      <c r="AH50" s="98"/>
      <c r="AI50" s="98">
        <v>50</v>
      </c>
      <c r="AJ50" s="98"/>
      <c r="AK50" s="98">
        <v>1</v>
      </c>
      <c r="AL50" s="98"/>
      <c r="AM50" s="98"/>
      <c r="AN50" s="147">
        <v>0.008</v>
      </c>
      <c r="AO50" s="97">
        <f t="shared" si="60"/>
        <v>1.52</v>
      </c>
      <c r="AP50" s="155">
        <v>5</v>
      </c>
      <c r="AQ50" s="156">
        <v>446</v>
      </c>
      <c r="AR50" s="96">
        <f t="shared" si="79"/>
        <v>0.0069282321809812</v>
      </c>
      <c r="AS50" s="97">
        <f t="shared" si="80"/>
        <v>2.59</v>
      </c>
      <c r="AT50" s="157">
        <v>6815</v>
      </c>
      <c r="AU50" s="157">
        <v>68</v>
      </c>
      <c r="AV50" s="157">
        <v>34</v>
      </c>
      <c r="AW50" s="174"/>
      <c r="AX50" s="174"/>
      <c r="AY50" s="96">
        <f t="shared" si="81"/>
        <v>0.0066155724342349</v>
      </c>
      <c r="AZ50" s="97">
        <f t="shared" si="82"/>
        <v>8.99</v>
      </c>
      <c r="BA50" s="82"/>
      <c r="BB50" s="82">
        <v>1</v>
      </c>
      <c r="BC50" s="82"/>
      <c r="BD50" s="82">
        <v>1</v>
      </c>
      <c r="BE50" s="82"/>
      <c r="BF50" s="82"/>
      <c r="BG50" s="82">
        <v>1</v>
      </c>
      <c r="BH50" s="131">
        <f t="shared" si="83"/>
        <v>0.0092</v>
      </c>
      <c r="BI50" s="97">
        <f t="shared" si="62"/>
        <v>7.29</v>
      </c>
      <c r="BJ50" s="98">
        <v>5000</v>
      </c>
      <c r="BK50" s="99"/>
      <c r="BL50" s="116">
        <f>ROUND((BJ50*0.0035+BK50*0.003)/148,4)</f>
        <v>0.1182</v>
      </c>
      <c r="BM50" s="186">
        <f>ROUND(125*BL50,2)</f>
        <v>14.78</v>
      </c>
      <c r="BN50" s="187"/>
      <c r="BO50" s="186"/>
      <c r="BP50" s="186">
        <f t="shared" si="87"/>
        <v>22.07</v>
      </c>
      <c r="BQ50" s="98">
        <v>53</v>
      </c>
      <c r="BR50" s="116">
        <f t="shared" si="44"/>
        <v>0.0137483787289235</v>
      </c>
      <c r="BS50" s="188">
        <f t="shared" si="52"/>
        <v>8.74</v>
      </c>
      <c r="BT50" s="189">
        <v>1</v>
      </c>
      <c r="BU50" s="189"/>
      <c r="BV50" s="194">
        <v>1</v>
      </c>
      <c r="BW50" s="116">
        <f t="shared" si="84"/>
        <v>0.0114776346766376</v>
      </c>
      <c r="BX50" s="188">
        <f t="shared" si="85"/>
        <v>1.1</v>
      </c>
      <c r="BY50" s="195"/>
      <c r="BZ50" s="196"/>
      <c r="CA50" s="188"/>
      <c r="CB50" s="200"/>
      <c r="CC50" s="84">
        <v>0</v>
      </c>
      <c r="CD50" s="208">
        <f t="shared" si="88"/>
        <v>102.04</v>
      </c>
      <c r="CE50" s="45"/>
      <c r="CF50" s="44"/>
    </row>
    <row r="51" s="43" customFormat="1" ht="12" customHeight="1" spans="1:84">
      <c r="A51" s="94" t="s">
        <v>146</v>
      </c>
      <c r="B51" s="95">
        <v>219765</v>
      </c>
      <c r="C51" s="96">
        <f t="shared" si="69"/>
        <v>0.0131</v>
      </c>
      <c r="D51" s="97">
        <f t="shared" si="70"/>
        <v>2.69</v>
      </c>
      <c r="E51" s="98">
        <v>223</v>
      </c>
      <c r="F51" s="99">
        <v>9332</v>
      </c>
      <c r="G51" s="100">
        <f t="shared" si="71"/>
        <v>0.0097</v>
      </c>
      <c r="H51" s="101">
        <f t="shared" si="72"/>
        <v>27.86</v>
      </c>
      <c r="I51" s="115"/>
      <c r="J51" s="115"/>
      <c r="K51" s="115"/>
      <c r="L51" s="115">
        <v>320</v>
      </c>
      <c r="M51" s="116">
        <f t="shared" si="73"/>
        <v>0.0051</v>
      </c>
      <c r="N51" s="101">
        <f t="shared" si="49"/>
        <v>3.59</v>
      </c>
      <c r="O51" s="101"/>
      <c r="P51" s="101">
        <f t="shared" si="86"/>
        <v>3.59</v>
      </c>
      <c r="Q51" s="121">
        <v>0</v>
      </c>
      <c r="R51" s="130">
        <v>0</v>
      </c>
      <c r="S51" s="123">
        <f t="shared" si="74"/>
        <v>0</v>
      </c>
      <c r="T51" s="123">
        <f t="shared" si="57"/>
        <v>0</v>
      </c>
      <c r="U51" s="116">
        <f t="shared" si="75"/>
        <v>0</v>
      </c>
      <c r="V51" s="101">
        <f t="shared" si="76"/>
        <v>0</v>
      </c>
      <c r="W51" s="131"/>
      <c r="X51" s="125"/>
      <c r="Y51" s="125"/>
      <c r="Z51" s="82"/>
      <c r="AA51" s="82"/>
      <c r="AB51" s="82"/>
      <c r="AC51" s="82"/>
      <c r="AD51" s="142">
        <f t="shared" si="77"/>
        <v>0</v>
      </c>
      <c r="AE51" s="84">
        <f t="shared" si="78"/>
        <v>0</v>
      </c>
      <c r="AF51" s="98">
        <v>1</v>
      </c>
      <c r="AG51" s="98"/>
      <c r="AH51" s="98"/>
      <c r="AI51" s="98"/>
      <c r="AJ51" s="98"/>
      <c r="AK51" s="98"/>
      <c r="AL51" s="98"/>
      <c r="AM51" s="98"/>
      <c r="AN51" s="147">
        <v>0.0027</v>
      </c>
      <c r="AO51" s="97">
        <f t="shared" si="60"/>
        <v>0.51</v>
      </c>
      <c r="AP51" s="155">
        <v>30</v>
      </c>
      <c r="AQ51" s="156">
        <v>364</v>
      </c>
      <c r="AR51" s="96">
        <f t="shared" si="79"/>
        <v>0.0359411173295876</v>
      </c>
      <c r="AS51" s="97">
        <f t="shared" si="80"/>
        <v>13.43</v>
      </c>
      <c r="AT51" s="157">
        <v>3922</v>
      </c>
      <c r="AU51" s="157">
        <v>64</v>
      </c>
      <c r="AV51" s="157">
        <v>32</v>
      </c>
      <c r="AW51" s="174"/>
      <c r="AX51" s="174"/>
      <c r="AY51" s="96">
        <f t="shared" si="81"/>
        <v>0.00463641496850685</v>
      </c>
      <c r="AZ51" s="97">
        <f t="shared" si="82"/>
        <v>6.3</v>
      </c>
      <c r="BA51" s="82"/>
      <c r="BB51" s="82"/>
      <c r="BC51" s="82"/>
      <c r="BD51" s="82">
        <v>1</v>
      </c>
      <c r="BE51" s="82"/>
      <c r="BF51" s="82"/>
      <c r="BG51" s="82"/>
      <c r="BH51" s="131">
        <f t="shared" si="83"/>
        <v>0.0015</v>
      </c>
      <c r="BI51" s="97">
        <f t="shared" si="62"/>
        <v>1.19</v>
      </c>
      <c r="BJ51" s="98"/>
      <c r="BK51" s="99"/>
      <c r="BL51" s="116"/>
      <c r="BM51" s="186"/>
      <c r="BN51" s="187"/>
      <c r="BO51" s="186"/>
      <c r="BP51" s="186">
        <f t="shared" si="87"/>
        <v>1.19</v>
      </c>
      <c r="BQ51" s="98">
        <v>53</v>
      </c>
      <c r="BR51" s="116">
        <f t="shared" si="44"/>
        <v>0.0137483787289235</v>
      </c>
      <c r="BS51" s="188">
        <f t="shared" si="52"/>
        <v>8.74</v>
      </c>
      <c r="BT51" s="189">
        <v>1</v>
      </c>
      <c r="BU51" s="189"/>
      <c r="BV51" s="194">
        <v>1</v>
      </c>
      <c r="BW51" s="116">
        <f t="shared" si="84"/>
        <v>0.0114776346766376</v>
      </c>
      <c r="BX51" s="188">
        <f t="shared" si="85"/>
        <v>1.1</v>
      </c>
      <c r="BY51" s="195"/>
      <c r="BZ51" s="196"/>
      <c r="CA51" s="188"/>
      <c r="CB51" s="200"/>
      <c r="CC51" s="84">
        <v>0</v>
      </c>
      <c r="CD51" s="208">
        <f t="shared" si="88"/>
        <v>65.41</v>
      </c>
      <c r="CE51" s="45"/>
      <c r="CF51" s="44"/>
    </row>
    <row r="52" s="43" customFormat="1" ht="12" customHeight="1" spans="1:84">
      <c r="A52" s="94" t="s">
        <v>147</v>
      </c>
      <c r="B52" s="95">
        <v>502298</v>
      </c>
      <c r="C52" s="96">
        <f t="shared" si="69"/>
        <v>0.0299</v>
      </c>
      <c r="D52" s="97">
        <f t="shared" si="70"/>
        <v>6.13</v>
      </c>
      <c r="E52" s="98">
        <v>1409</v>
      </c>
      <c r="F52" s="99">
        <v>20569</v>
      </c>
      <c r="G52" s="100">
        <f t="shared" si="71"/>
        <v>0.0374</v>
      </c>
      <c r="H52" s="101">
        <f t="shared" si="72"/>
        <v>107.41</v>
      </c>
      <c r="I52" s="115"/>
      <c r="J52" s="115"/>
      <c r="K52" s="115"/>
      <c r="L52" s="115">
        <v>370</v>
      </c>
      <c r="M52" s="116">
        <f t="shared" si="73"/>
        <v>0.0059</v>
      </c>
      <c r="N52" s="101">
        <f t="shared" si="49"/>
        <v>4.15</v>
      </c>
      <c r="O52" s="101"/>
      <c r="P52" s="101">
        <f t="shared" si="86"/>
        <v>4.15</v>
      </c>
      <c r="Q52" s="121">
        <v>0</v>
      </c>
      <c r="R52" s="130">
        <v>0</v>
      </c>
      <c r="S52" s="123">
        <f t="shared" si="74"/>
        <v>0</v>
      </c>
      <c r="T52" s="123">
        <f t="shared" si="57"/>
        <v>0</v>
      </c>
      <c r="U52" s="116">
        <f t="shared" si="75"/>
        <v>0</v>
      </c>
      <c r="V52" s="101">
        <f t="shared" si="76"/>
        <v>0</v>
      </c>
      <c r="W52" s="131"/>
      <c r="X52" s="125"/>
      <c r="Y52" s="125"/>
      <c r="Z52" s="82"/>
      <c r="AA52" s="82"/>
      <c r="AB52" s="82"/>
      <c r="AC52" s="82"/>
      <c r="AD52" s="142">
        <f t="shared" si="77"/>
        <v>0</v>
      </c>
      <c r="AE52" s="84">
        <f t="shared" si="78"/>
        <v>0</v>
      </c>
      <c r="AF52" s="98">
        <v>1</v>
      </c>
      <c r="AG52" s="98"/>
      <c r="AH52" s="98"/>
      <c r="AI52" s="98"/>
      <c r="AJ52" s="98"/>
      <c r="AK52" s="98"/>
      <c r="AL52" s="98"/>
      <c r="AM52" s="98"/>
      <c r="AN52" s="147">
        <v>0.0027</v>
      </c>
      <c r="AO52" s="97">
        <f t="shared" si="60"/>
        <v>0.51</v>
      </c>
      <c r="AP52" s="155">
        <v>108</v>
      </c>
      <c r="AQ52" s="156">
        <v>752</v>
      </c>
      <c r="AR52" s="96">
        <f t="shared" si="79"/>
        <v>0.128028667203852</v>
      </c>
      <c r="AS52" s="97">
        <f t="shared" si="80"/>
        <v>47.86</v>
      </c>
      <c r="AT52" s="157">
        <v>10013</v>
      </c>
      <c r="AU52" s="157">
        <v>100</v>
      </c>
      <c r="AV52" s="157">
        <v>50</v>
      </c>
      <c r="AW52" s="174"/>
      <c r="AX52" s="174"/>
      <c r="AY52" s="96">
        <f t="shared" si="81"/>
        <v>0.00972300333456836</v>
      </c>
      <c r="AZ52" s="97">
        <f t="shared" si="82"/>
        <v>13.21</v>
      </c>
      <c r="BA52" s="82"/>
      <c r="BB52" s="82"/>
      <c r="BC52" s="82"/>
      <c r="BD52" s="82">
        <v>1</v>
      </c>
      <c r="BE52" s="82"/>
      <c r="BF52" s="82"/>
      <c r="BG52" s="82">
        <v>1</v>
      </c>
      <c r="BH52" s="131">
        <f t="shared" si="83"/>
        <v>0.0053</v>
      </c>
      <c r="BI52" s="97">
        <f t="shared" si="62"/>
        <v>4.2</v>
      </c>
      <c r="BJ52" s="98"/>
      <c r="BK52" s="99"/>
      <c r="BL52" s="116"/>
      <c r="BM52" s="186"/>
      <c r="BN52" s="187"/>
      <c r="BO52" s="186"/>
      <c r="BP52" s="186">
        <f t="shared" si="87"/>
        <v>4.2</v>
      </c>
      <c r="BQ52" s="98">
        <v>63</v>
      </c>
      <c r="BR52" s="116">
        <f t="shared" si="44"/>
        <v>0.0163424124513619</v>
      </c>
      <c r="BS52" s="188">
        <f t="shared" si="52"/>
        <v>10.39</v>
      </c>
      <c r="BT52" s="189">
        <v>1</v>
      </c>
      <c r="BU52" s="189"/>
      <c r="BV52" s="194">
        <v>1</v>
      </c>
      <c r="BW52" s="116">
        <f t="shared" si="84"/>
        <v>0.0114776346766376</v>
      </c>
      <c r="BX52" s="188">
        <f t="shared" si="85"/>
        <v>1.1</v>
      </c>
      <c r="BY52" s="195"/>
      <c r="BZ52" s="196"/>
      <c r="CA52" s="188"/>
      <c r="CB52" s="200"/>
      <c r="CC52" s="188">
        <v>9</v>
      </c>
      <c r="CD52" s="208">
        <f t="shared" si="88"/>
        <v>203.96</v>
      </c>
      <c r="CE52" s="45"/>
      <c r="CF52" s="44"/>
    </row>
    <row r="53" s="43" customFormat="1" ht="12" customHeight="1" spans="1:84">
      <c r="A53" s="94" t="s">
        <v>148</v>
      </c>
      <c r="B53" s="95">
        <v>547179</v>
      </c>
      <c r="C53" s="96">
        <f t="shared" si="69"/>
        <v>0.0326</v>
      </c>
      <c r="D53" s="97">
        <f t="shared" si="70"/>
        <v>6.68</v>
      </c>
      <c r="E53" s="98">
        <v>300</v>
      </c>
      <c r="F53" s="99">
        <v>17777</v>
      </c>
      <c r="G53" s="100">
        <f t="shared" si="71"/>
        <v>0.0164</v>
      </c>
      <c r="H53" s="101">
        <f t="shared" si="72"/>
        <v>47.1</v>
      </c>
      <c r="I53" s="115"/>
      <c r="J53" s="115"/>
      <c r="K53" s="115"/>
      <c r="L53" s="115">
        <v>333</v>
      </c>
      <c r="M53" s="116">
        <f t="shared" si="73"/>
        <v>0.0053</v>
      </c>
      <c r="N53" s="101">
        <f t="shared" si="49"/>
        <v>3.73</v>
      </c>
      <c r="O53" s="101"/>
      <c r="P53" s="101">
        <f t="shared" si="86"/>
        <v>3.73</v>
      </c>
      <c r="Q53" s="121">
        <v>0</v>
      </c>
      <c r="R53" s="130">
        <v>0</v>
      </c>
      <c r="S53" s="123">
        <f t="shared" si="74"/>
        <v>0</v>
      </c>
      <c r="T53" s="123">
        <f t="shared" si="57"/>
        <v>0</v>
      </c>
      <c r="U53" s="116">
        <f t="shared" si="75"/>
        <v>0</v>
      </c>
      <c r="V53" s="101">
        <f t="shared" si="76"/>
        <v>0</v>
      </c>
      <c r="W53" s="131"/>
      <c r="X53" s="125"/>
      <c r="Y53" s="125"/>
      <c r="Z53" s="82"/>
      <c r="AA53" s="82"/>
      <c r="AB53" s="82"/>
      <c r="AC53" s="82"/>
      <c r="AD53" s="142">
        <f t="shared" si="77"/>
        <v>0</v>
      </c>
      <c r="AE53" s="84">
        <f t="shared" si="78"/>
        <v>0</v>
      </c>
      <c r="AF53" s="98">
        <v>1</v>
      </c>
      <c r="AG53" s="98"/>
      <c r="AH53" s="98"/>
      <c r="AI53" s="98"/>
      <c r="AJ53" s="98"/>
      <c r="AK53" s="98">
        <v>1</v>
      </c>
      <c r="AL53" s="98"/>
      <c r="AM53" s="98"/>
      <c r="AN53" s="147">
        <v>0.0053</v>
      </c>
      <c r="AO53" s="97">
        <f t="shared" si="60"/>
        <v>1.01</v>
      </c>
      <c r="AP53" s="155">
        <v>57</v>
      </c>
      <c r="AQ53" s="156">
        <v>746</v>
      </c>
      <c r="AR53" s="96">
        <f t="shared" si="79"/>
        <v>0.0684205529440118</v>
      </c>
      <c r="AS53" s="97">
        <f t="shared" si="80"/>
        <v>25.58</v>
      </c>
      <c r="AT53" s="157">
        <v>9294</v>
      </c>
      <c r="AU53" s="157">
        <v>88</v>
      </c>
      <c r="AV53" s="157">
        <v>44</v>
      </c>
      <c r="AW53" s="158"/>
      <c r="AX53" s="158"/>
      <c r="AY53" s="96">
        <f t="shared" si="81"/>
        <v>0.00886412300852167</v>
      </c>
      <c r="AZ53" s="97">
        <f t="shared" si="82"/>
        <v>12.05</v>
      </c>
      <c r="BA53" s="82"/>
      <c r="BB53" s="82"/>
      <c r="BC53" s="82"/>
      <c r="BD53" s="82">
        <v>1</v>
      </c>
      <c r="BE53" s="82"/>
      <c r="BF53" s="82"/>
      <c r="BG53" s="82">
        <v>1</v>
      </c>
      <c r="BH53" s="131">
        <f t="shared" si="83"/>
        <v>0.0053</v>
      </c>
      <c r="BI53" s="97">
        <f t="shared" si="62"/>
        <v>4.2</v>
      </c>
      <c r="BJ53" s="98"/>
      <c r="BK53" s="99"/>
      <c r="BL53" s="116"/>
      <c r="BM53" s="186"/>
      <c r="BN53" s="187"/>
      <c r="BO53" s="186"/>
      <c r="BP53" s="186">
        <f t="shared" si="87"/>
        <v>4.2</v>
      </c>
      <c r="BQ53" s="98">
        <v>61</v>
      </c>
      <c r="BR53" s="116">
        <f t="shared" si="44"/>
        <v>0.0158236057068742</v>
      </c>
      <c r="BS53" s="188">
        <f t="shared" si="52"/>
        <v>10.06</v>
      </c>
      <c r="BT53" s="189">
        <v>1</v>
      </c>
      <c r="BU53" s="189"/>
      <c r="BV53" s="194">
        <v>1</v>
      </c>
      <c r="BW53" s="116">
        <f t="shared" si="84"/>
        <v>0.0114776346766376</v>
      </c>
      <c r="BX53" s="188">
        <f t="shared" si="85"/>
        <v>1.1</v>
      </c>
      <c r="BY53" s="195"/>
      <c r="BZ53" s="196"/>
      <c r="CA53" s="188"/>
      <c r="CB53" s="200"/>
      <c r="CC53" s="188">
        <v>7</v>
      </c>
      <c r="CD53" s="208">
        <f t="shared" si="88"/>
        <v>118.51</v>
      </c>
      <c r="CE53" s="45"/>
      <c r="CF53" s="44"/>
    </row>
    <row r="54" s="43" customFormat="1" ht="12" customHeight="1" spans="1:84">
      <c r="A54" s="94" t="s">
        <v>149</v>
      </c>
      <c r="B54" s="95">
        <v>372996</v>
      </c>
      <c r="C54" s="96">
        <f t="shared" si="69"/>
        <v>0.0222</v>
      </c>
      <c r="D54" s="97">
        <f t="shared" si="70"/>
        <v>4.55</v>
      </c>
      <c r="E54" s="98">
        <v>362</v>
      </c>
      <c r="F54" s="99">
        <v>22651</v>
      </c>
      <c r="G54" s="100">
        <f t="shared" si="71"/>
        <v>0.0205</v>
      </c>
      <c r="H54" s="101">
        <f t="shared" si="72"/>
        <v>58.88</v>
      </c>
      <c r="I54" s="115"/>
      <c r="J54" s="115"/>
      <c r="K54" s="115"/>
      <c r="L54" s="115">
        <v>352</v>
      </c>
      <c r="M54" s="116">
        <f t="shared" si="73"/>
        <v>0.0056</v>
      </c>
      <c r="N54" s="101">
        <f t="shared" si="49"/>
        <v>3.94</v>
      </c>
      <c r="O54" s="101"/>
      <c r="P54" s="101">
        <f t="shared" si="86"/>
        <v>3.94</v>
      </c>
      <c r="Q54" s="121">
        <v>0</v>
      </c>
      <c r="R54" s="130">
        <v>0</v>
      </c>
      <c r="S54" s="123">
        <f t="shared" si="74"/>
        <v>0</v>
      </c>
      <c r="T54" s="123">
        <f t="shared" si="57"/>
        <v>0</v>
      </c>
      <c r="U54" s="116">
        <f t="shared" si="75"/>
        <v>0</v>
      </c>
      <c r="V54" s="101">
        <f t="shared" si="76"/>
        <v>0</v>
      </c>
      <c r="W54" s="131"/>
      <c r="X54" s="125">
        <v>1</v>
      </c>
      <c r="Y54" s="125"/>
      <c r="Z54" s="82"/>
      <c r="AA54" s="82">
        <v>1</v>
      </c>
      <c r="AB54" s="82"/>
      <c r="AC54" s="82"/>
      <c r="AD54" s="142">
        <f t="shared" si="77"/>
        <v>0.0165</v>
      </c>
      <c r="AE54" s="84">
        <f t="shared" si="78"/>
        <v>4.94</v>
      </c>
      <c r="AF54" s="98">
        <v>1</v>
      </c>
      <c r="AG54" s="98"/>
      <c r="AH54" s="98"/>
      <c r="AI54" s="98"/>
      <c r="AJ54" s="98"/>
      <c r="AK54" s="98"/>
      <c r="AL54" s="98"/>
      <c r="AM54" s="98"/>
      <c r="AN54" s="147">
        <v>0.0027</v>
      </c>
      <c r="AO54" s="97">
        <f t="shared" si="60"/>
        <v>0.51</v>
      </c>
      <c r="AP54" s="155">
        <v>15</v>
      </c>
      <c r="AQ54" s="156">
        <v>745</v>
      </c>
      <c r="AR54" s="96">
        <f t="shared" si="79"/>
        <v>0.0193411119739619</v>
      </c>
      <c r="AS54" s="97">
        <f t="shared" si="80"/>
        <v>7.23</v>
      </c>
      <c r="AT54" s="157">
        <v>9073</v>
      </c>
      <c r="AU54" s="157">
        <v>124</v>
      </c>
      <c r="AV54" s="157">
        <v>62</v>
      </c>
      <c r="AW54" s="174"/>
      <c r="AX54" s="174"/>
      <c r="AY54" s="96">
        <f t="shared" si="81"/>
        <v>0.00992356650611338</v>
      </c>
      <c r="AZ54" s="97">
        <f t="shared" si="82"/>
        <v>13.49</v>
      </c>
      <c r="BA54" s="82"/>
      <c r="BB54" s="82"/>
      <c r="BC54" s="82"/>
      <c r="BD54" s="82">
        <v>1</v>
      </c>
      <c r="BE54" s="82"/>
      <c r="BF54" s="82"/>
      <c r="BG54" s="82"/>
      <c r="BH54" s="131">
        <f t="shared" si="83"/>
        <v>0.0015</v>
      </c>
      <c r="BI54" s="97">
        <f t="shared" si="62"/>
        <v>1.19</v>
      </c>
      <c r="BJ54" s="98">
        <v>2000</v>
      </c>
      <c r="BK54" s="99">
        <v>3000</v>
      </c>
      <c r="BL54" s="116">
        <f>ROUND((BJ54*0.0035+BK54*0.003)/148,4)</f>
        <v>0.1081</v>
      </c>
      <c r="BM54" s="186">
        <f>ROUND(125*BL54,2)</f>
        <v>13.51</v>
      </c>
      <c r="BN54" s="187"/>
      <c r="BO54" s="186"/>
      <c r="BP54" s="186">
        <f t="shared" si="87"/>
        <v>14.7</v>
      </c>
      <c r="BQ54" s="98">
        <v>75</v>
      </c>
      <c r="BR54" s="116">
        <f t="shared" si="44"/>
        <v>0.0194552529182879</v>
      </c>
      <c r="BS54" s="188">
        <f t="shared" si="52"/>
        <v>12.37</v>
      </c>
      <c r="BT54" s="189">
        <v>1</v>
      </c>
      <c r="BU54" s="189"/>
      <c r="BV54" s="194">
        <v>1</v>
      </c>
      <c r="BW54" s="116">
        <f t="shared" si="84"/>
        <v>0.0114776346766376</v>
      </c>
      <c r="BX54" s="188">
        <f t="shared" si="85"/>
        <v>1.1</v>
      </c>
      <c r="BY54" s="195"/>
      <c r="BZ54" s="196"/>
      <c r="CA54" s="188"/>
      <c r="CB54" s="200"/>
      <c r="CC54" s="84">
        <v>0</v>
      </c>
      <c r="CD54" s="208">
        <f t="shared" si="88"/>
        <v>121.71</v>
      </c>
      <c r="CE54" s="45"/>
      <c r="CF54" s="44"/>
    </row>
    <row r="55" s="43" customFormat="1" ht="12" customHeight="1" spans="1:84">
      <c r="A55" s="94" t="s">
        <v>150</v>
      </c>
      <c r="B55" s="95">
        <v>434499</v>
      </c>
      <c r="C55" s="96">
        <f t="shared" si="69"/>
        <v>0.0258</v>
      </c>
      <c r="D55" s="97">
        <f t="shared" si="70"/>
        <v>5.29</v>
      </c>
      <c r="E55" s="98">
        <v>473</v>
      </c>
      <c r="F55" s="99">
        <v>18707</v>
      </c>
      <c r="G55" s="100">
        <f t="shared" si="71"/>
        <v>0.02</v>
      </c>
      <c r="H55" s="101">
        <f t="shared" si="72"/>
        <v>57.44</v>
      </c>
      <c r="I55" s="115"/>
      <c r="J55" s="115"/>
      <c r="K55" s="115"/>
      <c r="L55" s="115">
        <v>241</v>
      </c>
      <c r="M55" s="116">
        <f t="shared" si="73"/>
        <v>0.0039</v>
      </c>
      <c r="N55" s="101">
        <f t="shared" si="49"/>
        <v>2.74</v>
      </c>
      <c r="O55" s="101"/>
      <c r="P55" s="101">
        <f t="shared" si="86"/>
        <v>2.74</v>
      </c>
      <c r="Q55" s="121">
        <v>0</v>
      </c>
      <c r="R55" s="130">
        <v>0</v>
      </c>
      <c r="S55" s="123">
        <f t="shared" si="74"/>
        <v>0</v>
      </c>
      <c r="T55" s="123">
        <f t="shared" si="57"/>
        <v>0</v>
      </c>
      <c r="U55" s="116">
        <f t="shared" si="75"/>
        <v>0</v>
      </c>
      <c r="V55" s="101">
        <f t="shared" si="76"/>
        <v>0</v>
      </c>
      <c r="W55" s="131"/>
      <c r="X55" s="125"/>
      <c r="Y55" s="125"/>
      <c r="Z55" s="82"/>
      <c r="AA55" s="82"/>
      <c r="AB55" s="82"/>
      <c r="AC55" s="82"/>
      <c r="AD55" s="142">
        <f t="shared" si="77"/>
        <v>0</v>
      </c>
      <c r="AE55" s="84">
        <f t="shared" si="78"/>
        <v>0</v>
      </c>
      <c r="AF55" s="98">
        <v>1</v>
      </c>
      <c r="AG55" s="98"/>
      <c r="AH55" s="98"/>
      <c r="AI55" s="98"/>
      <c r="AJ55" s="98"/>
      <c r="AK55" s="98"/>
      <c r="AL55" s="98"/>
      <c r="AM55" s="98"/>
      <c r="AN55" s="147">
        <v>0.0027</v>
      </c>
      <c r="AO55" s="97">
        <f t="shared" si="60"/>
        <v>0.51</v>
      </c>
      <c r="AP55" s="155">
        <v>51</v>
      </c>
      <c r="AQ55" s="156">
        <v>681</v>
      </c>
      <c r="AR55" s="96">
        <f t="shared" si="79"/>
        <v>0.0612513176056458</v>
      </c>
      <c r="AS55" s="97">
        <f t="shared" si="80"/>
        <v>22.9</v>
      </c>
      <c r="AT55" s="157">
        <v>8006</v>
      </c>
      <c r="AU55" s="157">
        <v>92</v>
      </c>
      <c r="AV55" s="157">
        <v>46</v>
      </c>
      <c r="AW55" s="174"/>
      <c r="AX55" s="174"/>
      <c r="AY55" s="96">
        <f t="shared" si="81"/>
        <v>0.00817574360874398</v>
      </c>
      <c r="AZ55" s="97">
        <f t="shared" si="82"/>
        <v>11.11</v>
      </c>
      <c r="BA55" s="82"/>
      <c r="BB55" s="82"/>
      <c r="BC55" s="82"/>
      <c r="BD55" s="82">
        <v>1</v>
      </c>
      <c r="BE55" s="82"/>
      <c r="BF55" s="82"/>
      <c r="BG55" s="82">
        <v>1</v>
      </c>
      <c r="BH55" s="131">
        <f t="shared" si="83"/>
        <v>0.0053</v>
      </c>
      <c r="BI55" s="97">
        <f t="shared" si="62"/>
        <v>4.2</v>
      </c>
      <c r="BJ55" s="98"/>
      <c r="BK55" s="99"/>
      <c r="BL55" s="116"/>
      <c r="BM55" s="186"/>
      <c r="BN55" s="187"/>
      <c r="BO55" s="186"/>
      <c r="BP55" s="186">
        <f t="shared" si="87"/>
        <v>4.2</v>
      </c>
      <c r="BQ55" s="98">
        <v>55</v>
      </c>
      <c r="BR55" s="116">
        <f t="shared" si="44"/>
        <v>0.0142671854734112</v>
      </c>
      <c r="BS55" s="188">
        <f t="shared" si="52"/>
        <v>9.07</v>
      </c>
      <c r="BT55" s="189"/>
      <c r="BU55" s="189"/>
      <c r="BV55" s="194">
        <v>1</v>
      </c>
      <c r="BW55" s="116">
        <f t="shared" si="84"/>
        <v>0.00183908045977011</v>
      </c>
      <c r="BX55" s="188">
        <f t="shared" si="85"/>
        <v>0.18</v>
      </c>
      <c r="BY55" s="195"/>
      <c r="BZ55" s="196"/>
      <c r="CA55" s="188"/>
      <c r="CB55" s="200"/>
      <c r="CC55" s="84">
        <v>0</v>
      </c>
      <c r="CD55" s="208">
        <f t="shared" si="88"/>
        <v>113.44</v>
      </c>
      <c r="CE55" s="45"/>
      <c r="CF55" s="44"/>
    </row>
    <row r="56" s="43" customFormat="1" ht="12" customHeight="1" spans="1:84">
      <c r="A56" s="94" t="s">
        <v>151</v>
      </c>
      <c r="B56" s="95">
        <v>95780</v>
      </c>
      <c r="C56" s="96">
        <f t="shared" si="69"/>
        <v>0.0057</v>
      </c>
      <c r="D56" s="97">
        <f t="shared" si="70"/>
        <v>1.17</v>
      </c>
      <c r="E56" s="98">
        <v>227</v>
      </c>
      <c r="F56" s="99">
        <v>6571</v>
      </c>
      <c r="G56" s="100">
        <f t="shared" si="71"/>
        <v>0.0081</v>
      </c>
      <c r="H56" s="101">
        <f t="shared" si="72"/>
        <v>23.26</v>
      </c>
      <c r="I56" s="115"/>
      <c r="J56" s="115"/>
      <c r="K56" s="115"/>
      <c r="L56" s="115">
        <v>110</v>
      </c>
      <c r="M56" s="116">
        <f t="shared" si="73"/>
        <v>0.0018</v>
      </c>
      <c r="N56" s="101">
        <f t="shared" si="49"/>
        <v>1.27</v>
      </c>
      <c r="O56" s="101"/>
      <c r="P56" s="101">
        <f t="shared" si="86"/>
        <v>1.27</v>
      </c>
      <c r="Q56" s="121">
        <v>0</v>
      </c>
      <c r="R56" s="130">
        <v>0</v>
      </c>
      <c r="S56" s="123">
        <f t="shared" si="74"/>
        <v>0</v>
      </c>
      <c r="T56" s="123">
        <f t="shared" si="57"/>
        <v>0</v>
      </c>
      <c r="U56" s="116">
        <f t="shared" si="75"/>
        <v>0</v>
      </c>
      <c r="V56" s="101">
        <f t="shared" si="76"/>
        <v>0</v>
      </c>
      <c r="W56" s="131"/>
      <c r="X56" s="125"/>
      <c r="Y56" s="125"/>
      <c r="Z56" s="82"/>
      <c r="AA56" s="82"/>
      <c r="AB56" s="82"/>
      <c r="AC56" s="82"/>
      <c r="AD56" s="142">
        <f t="shared" si="77"/>
        <v>0</v>
      </c>
      <c r="AE56" s="84">
        <f t="shared" si="78"/>
        <v>0</v>
      </c>
      <c r="AF56" s="98">
        <v>1</v>
      </c>
      <c r="AG56" s="98"/>
      <c r="AH56" s="98"/>
      <c r="AI56" s="98"/>
      <c r="AJ56" s="98"/>
      <c r="AK56" s="98"/>
      <c r="AL56" s="98"/>
      <c r="AM56" s="98"/>
      <c r="AN56" s="147">
        <v>0.0027</v>
      </c>
      <c r="AO56" s="97">
        <f t="shared" si="60"/>
        <v>0.51</v>
      </c>
      <c r="AP56" s="163"/>
      <c r="AQ56" s="156">
        <v>208</v>
      </c>
      <c r="AR56" s="96">
        <f t="shared" si="79"/>
        <v>0.00050635006804079</v>
      </c>
      <c r="AS56" s="97">
        <f t="shared" si="80"/>
        <v>0.19</v>
      </c>
      <c r="AT56" s="157">
        <v>2666</v>
      </c>
      <c r="AU56" s="157">
        <v>64</v>
      </c>
      <c r="AV56" s="157">
        <v>32</v>
      </c>
      <c r="AW56" s="158"/>
      <c r="AX56" s="158"/>
      <c r="AY56" s="96">
        <f t="shared" si="81"/>
        <v>0.00383506928492034</v>
      </c>
      <c r="AZ56" s="97">
        <f t="shared" si="82"/>
        <v>5.21</v>
      </c>
      <c r="BA56" s="82"/>
      <c r="BB56" s="82"/>
      <c r="BC56" s="82"/>
      <c r="BD56" s="82">
        <v>1</v>
      </c>
      <c r="BE56" s="82"/>
      <c r="BF56" s="82"/>
      <c r="BG56" s="82">
        <v>1</v>
      </c>
      <c r="BH56" s="131">
        <f t="shared" si="83"/>
        <v>0.0053</v>
      </c>
      <c r="BI56" s="97">
        <f t="shared" si="62"/>
        <v>4.2</v>
      </c>
      <c r="BJ56" s="98"/>
      <c r="BK56" s="99"/>
      <c r="BL56" s="116"/>
      <c r="BM56" s="186"/>
      <c r="BN56" s="187"/>
      <c r="BO56" s="186"/>
      <c r="BP56" s="186">
        <f t="shared" si="87"/>
        <v>4.2</v>
      </c>
      <c r="BQ56" s="98">
        <v>55</v>
      </c>
      <c r="BR56" s="116">
        <f t="shared" si="44"/>
        <v>0.0142671854734112</v>
      </c>
      <c r="BS56" s="188">
        <f t="shared" si="52"/>
        <v>9.07</v>
      </c>
      <c r="BT56" s="189">
        <v>1</v>
      </c>
      <c r="BU56" s="189"/>
      <c r="BV56" s="194">
        <v>1</v>
      </c>
      <c r="BW56" s="116">
        <f t="shared" si="84"/>
        <v>0.0114776346766376</v>
      </c>
      <c r="BX56" s="188">
        <f t="shared" si="85"/>
        <v>1.1</v>
      </c>
      <c r="BY56" s="195"/>
      <c r="BZ56" s="196"/>
      <c r="CA56" s="188"/>
      <c r="CB56" s="200"/>
      <c r="CC56" s="84">
        <v>0</v>
      </c>
      <c r="CD56" s="208">
        <f t="shared" si="88"/>
        <v>45.98</v>
      </c>
      <c r="CE56" s="45"/>
      <c r="CF56" s="44"/>
    </row>
    <row r="57" s="43" customFormat="1" ht="12" customHeight="1" spans="1:84">
      <c r="A57" s="94" t="s">
        <v>152</v>
      </c>
      <c r="B57" s="95">
        <v>225635</v>
      </c>
      <c r="C57" s="96">
        <f t="shared" si="69"/>
        <v>0.0134</v>
      </c>
      <c r="D57" s="97">
        <f t="shared" si="70"/>
        <v>2.75</v>
      </c>
      <c r="E57" s="98">
        <v>174</v>
      </c>
      <c r="F57" s="99">
        <v>10064</v>
      </c>
      <c r="G57" s="100">
        <f t="shared" si="71"/>
        <v>0.0093</v>
      </c>
      <c r="H57" s="101">
        <f t="shared" si="72"/>
        <v>26.71</v>
      </c>
      <c r="I57" s="115"/>
      <c r="J57" s="115"/>
      <c r="K57" s="115"/>
      <c r="L57" s="115">
        <v>225</v>
      </c>
      <c r="M57" s="116">
        <f t="shared" si="73"/>
        <v>0.0036</v>
      </c>
      <c r="N57" s="101">
        <f t="shared" si="49"/>
        <v>2.53</v>
      </c>
      <c r="O57" s="101">
        <v>100</v>
      </c>
      <c r="P57" s="101">
        <f t="shared" si="86"/>
        <v>102.53</v>
      </c>
      <c r="Q57" s="121">
        <v>410</v>
      </c>
      <c r="R57" s="130">
        <v>0</v>
      </c>
      <c r="S57" s="123">
        <f t="shared" si="74"/>
        <v>0.0002</v>
      </c>
      <c r="T57" s="123">
        <f t="shared" si="57"/>
        <v>0.0002</v>
      </c>
      <c r="U57" s="116">
        <f t="shared" si="75"/>
        <v>0.0002</v>
      </c>
      <c r="V57" s="101">
        <f t="shared" si="76"/>
        <v>0.27</v>
      </c>
      <c r="W57" s="131"/>
      <c r="X57" s="125"/>
      <c r="Y57" s="125"/>
      <c r="Z57" s="82"/>
      <c r="AA57" s="82"/>
      <c r="AB57" s="82"/>
      <c r="AC57" s="82"/>
      <c r="AD57" s="142">
        <f t="shared" si="77"/>
        <v>0</v>
      </c>
      <c r="AE57" s="84">
        <f t="shared" si="78"/>
        <v>0</v>
      </c>
      <c r="AF57" s="98">
        <v>1</v>
      </c>
      <c r="AG57" s="98"/>
      <c r="AH57" s="98"/>
      <c r="AI57" s="98"/>
      <c r="AJ57" s="98"/>
      <c r="AK57" s="98"/>
      <c r="AL57" s="98"/>
      <c r="AM57" s="98"/>
      <c r="AN57" s="147">
        <v>0.0027</v>
      </c>
      <c r="AO57" s="97">
        <f t="shared" si="60"/>
        <v>0.51</v>
      </c>
      <c r="AP57" s="163"/>
      <c r="AQ57" s="156">
        <v>428</v>
      </c>
      <c r="AR57" s="96">
        <f t="shared" si="79"/>
        <v>0.00104191264000701</v>
      </c>
      <c r="AS57" s="97">
        <f t="shared" si="80"/>
        <v>0.39</v>
      </c>
      <c r="AT57" s="157">
        <v>6433</v>
      </c>
      <c r="AU57" s="157">
        <v>84</v>
      </c>
      <c r="AV57" s="157">
        <v>42</v>
      </c>
      <c r="AW57" s="158"/>
      <c r="AX57" s="158"/>
      <c r="AY57" s="96">
        <f t="shared" si="81"/>
        <v>0.00690538199333086</v>
      </c>
      <c r="AZ57" s="97">
        <f t="shared" si="82"/>
        <v>9.38</v>
      </c>
      <c r="BA57" s="82"/>
      <c r="BB57" s="82"/>
      <c r="BC57" s="82"/>
      <c r="BD57" s="82">
        <v>1</v>
      </c>
      <c r="BE57" s="82"/>
      <c r="BF57" s="82"/>
      <c r="BG57" s="82">
        <v>1</v>
      </c>
      <c r="BH57" s="131">
        <f t="shared" si="83"/>
        <v>0.0053</v>
      </c>
      <c r="BI57" s="97">
        <f t="shared" si="62"/>
        <v>4.2</v>
      </c>
      <c r="BJ57" s="98"/>
      <c r="BK57" s="99"/>
      <c r="BL57" s="116"/>
      <c r="BM57" s="186"/>
      <c r="BN57" s="187"/>
      <c r="BO57" s="186"/>
      <c r="BP57" s="186">
        <f t="shared" si="87"/>
        <v>4.2</v>
      </c>
      <c r="BQ57" s="98">
        <v>63</v>
      </c>
      <c r="BR57" s="116">
        <f t="shared" si="44"/>
        <v>0.0163424124513619</v>
      </c>
      <c r="BS57" s="188">
        <f t="shared" si="52"/>
        <v>10.39</v>
      </c>
      <c r="BT57" s="189"/>
      <c r="BU57" s="189"/>
      <c r="BV57" s="194">
        <v>1</v>
      </c>
      <c r="BW57" s="116">
        <f t="shared" si="84"/>
        <v>0.00183908045977011</v>
      </c>
      <c r="BX57" s="188">
        <f t="shared" si="85"/>
        <v>0.18</v>
      </c>
      <c r="BY57" s="195"/>
      <c r="BZ57" s="196"/>
      <c r="CA57" s="188"/>
      <c r="CB57" s="200"/>
      <c r="CC57" s="84">
        <v>0</v>
      </c>
      <c r="CD57" s="208">
        <f t="shared" si="88"/>
        <v>157.31</v>
      </c>
      <c r="CE57" s="45"/>
      <c r="CF57" s="44"/>
    </row>
    <row r="58" s="43" customFormat="1" ht="12" customHeight="1" spans="1:84">
      <c r="A58" s="94" t="s">
        <v>153</v>
      </c>
      <c r="B58" s="95">
        <v>73063</v>
      </c>
      <c r="C58" s="96">
        <f t="shared" si="69"/>
        <v>0.0043</v>
      </c>
      <c r="D58" s="97">
        <f t="shared" si="70"/>
        <v>0.88</v>
      </c>
      <c r="E58" s="98">
        <v>184</v>
      </c>
      <c r="F58" s="99">
        <v>5072</v>
      </c>
      <c r="G58" s="100">
        <f t="shared" si="71"/>
        <v>0.0064</v>
      </c>
      <c r="H58" s="101">
        <f t="shared" si="72"/>
        <v>18.38</v>
      </c>
      <c r="I58" s="115"/>
      <c r="J58" s="115"/>
      <c r="K58" s="115"/>
      <c r="L58" s="115">
        <v>76</v>
      </c>
      <c r="M58" s="116">
        <f t="shared" si="73"/>
        <v>0.0012</v>
      </c>
      <c r="N58" s="101">
        <f t="shared" si="49"/>
        <v>0.84</v>
      </c>
      <c r="O58" s="101"/>
      <c r="P58" s="101">
        <f t="shared" si="86"/>
        <v>0.84</v>
      </c>
      <c r="Q58" s="121">
        <v>0</v>
      </c>
      <c r="R58" s="130">
        <v>0</v>
      </c>
      <c r="S58" s="123">
        <f t="shared" si="74"/>
        <v>0</v>
      </c>
      <c r="T58" s="123">
        <f t="shared" si="57"/>
        <v>0</v>
      </c>
      <c r="U58" s="116">
        <f t="shared" si="75"/>
        <v>0</v>
      </c>
      <c r="V58" s="101">
        <f t="shared" si="76"/>
        <v>0</v>
      </c>
      <c r="W58" s="131"/>
      <c r="X58" s="125"/>
      <c r="Y58" s="125"/>
      <c r="Z58" s="82"/>
      <c r="AA58" s="82"/>
      <c r="AB58" s="82"/>
      <c r="AC58" s="82"/>
      <c r="AD58" s="142">
        <f t="shared" si="77"/>
        <v>0</v>
      </c>
      <c r="AE58" s="84">
        <f t="shared" si="78"/>
        <v>0</v>
      </c>
      <c r="AF58" s="98">
        <v>1</v>
      </c>
      <c r="AG58" s="98"/>
      <c r="AH58" s="98"/>
      <c r="AI58" s="98"/>
      <c r="AJ58" s="98"/>
      <c r="AK58" s="98"/>
      <c r="AL58" s="98"/>
      <c r="AM58" s="98"/>
      <c r="AN58" s="147">
        <v>0.0027</v>
      </c>
      <c r="AO58" s="97">
        <f t="shared" si="60"/>
        <v>0.51</v>
      </c>
      <c r="AP58" s="163">
        <v>3</v>
      </c>
      <c r="AQ58" s="156">
        <v>179</v>
      </c>
      <c r="AR58" s="96">
        <f t="shared" si="79"/>
        <v>0.00394125365460596</v>
      </c>
      <c r="AS58" s="97">
        <f t="shared" si="80"/>
        <v>1.47</v>
      </c>
      <c r="AT58" s="157">
        <v>2655</v>
      </c>
      <c r="AU58" s="157">
        <v>52</v>
      </c>
      <c r="AV58" s="157">
        <v>26</v>
      </c>
      <c r="AW58" s="158"/>
      <c r="AX58" s="158"/>
      <c r="AY58" s="96">
        <f t="shared" si="81"/>
        <v>0.00342790292701</v>
      </c>
      <c r="AZ58" s="97">
        <f t="shared" si="82"/>
        <v>4.66</v>
      </c>
      <c r="BA58" s="82"/>
      <c r="BB58" s="82">
        <v>1</v>
      </c>
      <c r="BC58" s="82"/>
      <c r="BD58" s="82">
        <v>1</v>
      </c>
      <c r="BE58" s="82"/>
      <c r="BF58" s="82"/>
      <c r="BG58" s="82">
        <v>1</v>
      </c>
      <c r="BH58" s="131">
        <f t="shared" si="83"/>
        <v>0.0092</v>
      </c>
      <c r="BI58" s="97">
        <f t="shared" si="62"/>
        <v>7.29</v>
      </c>
      <c r="BJ58" s="98"/>
      <c r="BK58" s="99"/>
      <c r="BL58" s="116"/>
      <c r="BM58" s="186"/>
      <c r="BN58" s="187"/>
      <c r="BO58" s="186"/>
      <c r="BP58" s="186">
        <f t="shared" si="87"/>
        <v>7.29</v>
      </c>
      <c r="BQ58" s="98">
        <v>45</v>
      </c>
      <c r="BR58" s="116">
        <f t="shared" si="44"/>
        <v>0.0116731517509728</v>
      </c>
      <c r="BS58" s="188">
        <f t="shared" si="52"/>
        <v>7.42</v>
      </c>
      <c r="BT58" s="189">
        <v>1</v>
      </c>
      <c r="BU58" s="189"/>
      <c r="BV58" s="194">
        <v>1</v>
      </c>
      <c r="BW58" s="116">
        <f t="shared" si="84"/>
        <v>0.0114776346766376</v>
      </c>
      <c r="BX58" s="188">
        <f t="shared" si="85"/>
        <v>1.1</v>
      </c>
      <c r="BY58" s="195"/>
      <c r="BZ58" s="196"/>
      <c r="CA58" s="188"/>
      <c r="CB58" s="200"/>
      <c r="CC58" s="84">
        <v>0</v>
      </c>
      <c r="CD58" s="208">
        <f t="shared" si="88"/>
        <v>42.55</v>
      </c>
      <c r="CE58" s="45"/>
      <c r="CF58" s="44"/>
    </row>
    <row r="59" s="43" customFormat="1" ht="12" customHeight="1" spans="1:84">
      <c r="A59" s="94" t="s">
        <v>154</v>
      </c>
      <c r="B59" s="95">
        <v>78084</v>
      </c>
      <c r="C59" s="96">
        <f t="shared" si="69"/>
        <v>0.0046</v>
      </c>
      <c r="D59" s="97">
        <f t="shared" si="70"/>
        <v>0.94</v>
      </c>
      <c r="E59" s="98">
        <v>150</v>
      </c>
      <c r="F59" s="99">
        <v>6907</v>
      </c>
      <c r="G59" s="100">
        <f t="shared" si="71"/>
        <v>0.0069</v>
      </c>
      <c r="H59" s="101">
        <f t="shared" si="72"/>
        <v>19.82</v>
      </c>
      <c r="I59" s="115"/>
      <c r="J59" s="115"/>
      <c r="K59" s="115"/>
      <c r="L59" s="115">
        <v>114</v>
      </c>
      <c r="M59" s="116">
        <f t="shared" si="73"/>
        <v>0.0018</v>
      </c>
      <c r="N59" s="101">
        <f t="shared" si="49"/>
        <v>1.27</v>
      </c>
      <c r="O59" s="101"/>
      <c r="P59" s="101">
        <f t="shared" si="86"/>
        <v>1.27</v>
      </c>
      <c r="Q59" s="121">
        <v>0</v>
      </c>
      <c r="R59" s="130">
        <v>0</v>
      </c>
      <c r="S59" s="123">
        <f t="shared" si="74"/>
        <v>0</v>
      </c>
      <c r="T59" s="123">
        <f t="shared" si="57"/>
        <v>0</v>
      </c>
      <c r="U59" s="116">
        <f t="shared" si="75"/>
        <v>0</v>
      </c>
      <c r="V59" s="101">
        <f t="shared" si="76"/>
        <v>0</v>
      </c>
      <c r="W59" s="131"/>
      <c r="X59" s="125"/>
      <c r="Y59" s="125"/>
      <c r="Z59" s="82"/>
      <c r="AA59" s="82"/>
      <c r="AB59" s="82"/>
      <c r="AC59" s="82"/>
      <c r="AD59" s="142">
        <f t="shared" si="77"/>
        <v>0</v>
      </c>
      <c r="AE59" s="84">
        <f t="shared" si="78"/>
        <v>0</v>
      </c>
      <c r="AF59" s="98">
        <v>1</v>
      </c>
      <c r="AG59" s="98"/>
      <c r="AH59" s="98"/>
      <c r="AI59" s="98"/>
      <c r="AJ59" s="98"/>
      <c r="AK59" s="98"/>
      <c r="AL59" s="98"/>
      <c r="AM59" s="98"/>
      <c r="AN59" s="147">
        <v>0.0027</v>
      </c>
      <c r="AO59" s="97">
        <f t="shared" si="60"/>
        <v>0.51</v>
      </c>
      <c r="AP59" s="155">
        <v>2</v>
      </c>
      <c r="AQ59" s="156">
        <v>226</v>
      </c>
      <c r="AR59" s="96">
        <f t="shared" si="79"/>
        <v>0.00288716913796335</v>
      </c>
      <c r="AS59" s="97">
        <f t="shared" si="80"/>
        <v>1.08</v>
      </c>
      <c r="AT59" s="157">
        <v>3423</v>
      </c>
      <c r="AU59" s="157">
        <v>68</v>
      </c>
      <c r="AV59" s="157">
        <v>34</v>
      </c>
      <c r="AW59" s="158"/>
      <c r="AX59" s="158"/>
      <c r="AY59" s="96">
        <f t="shared" si="81"/>
        <v>0.00445142867728788</v>
      </c>
      <c r="AZ59" s="97">
        <f t="shared" si="82"/>
        <v>6.05</v>
      </c>
      <c r="BA59" s="82"/>
      <c r="BB59" s="82"/>
      <c r="BC59" s="82"/>
      <c r="BD59" s="82">
        <v>1</v>
      </c>
      <c r="BE59" s="82"/>
      <c r="BF59" s="82"/>
      <c r="BG59" s="82">
        <v>1</v>
      </c>
      <c r="BH59" s="131">
        <f t="shared" si="83"/>
        <v>0.0053</v>
      </c>
      <c r="BI59" s="97">
        <f t="shared" si="62"/>
        <v>4.2</v>
      </c>
      <c r="BJ59" s="98"/>
      <c r="BK59" s="99"/>
      <c r="BL59" s="116"/>
      <c r="BM59" s="186"/>
      <c r="BN59" s="187"/>
      <c r="BO59" s="186"/>
      <c r="BP59" s="186">
        <f t="shared" si="87"/>
        <v>4.2</v>
      </c>
      <c r="BQ59" s="98">
        <v>55</v>
      </c>
      <c r="BR59" s="116">
        <f t="shared" si="44"/>
        <v>0.0142671854734112</v>
      </c>
      <c r="BS59" s="188">
        <f t="shared" si="52"/>
        <v>9.07</v>
      </c>
      <c r="BT59" s="189">
        <v>1</v>
      </c>
      <c r="BU59" s="189"/>
      <c r="BV59" s="194">
        <v>1</v>
      </c>
      <c r="BW59" s="116">
        <f t="shared" si="84"/>
        <v>0.0114776346766376</v>
      </c>
      <c r="BX59" s="188">
        <f t="shared" si="85"/>
        <v>1.1</v>
      </c>
      <c r="BY59" s="195"/>
      <c r="BZ59" s="196"/>
      <c r="CA59" s="188"/>
      <c r="CB59" s="200"/>
      <c r="CC59" s="84">
        <v>0</v>
      </c>
      <c r="CD59" s="208">
        <f t="shared" si="88"/>
        <v>44.04</v>
      </c>
      <c r="CE59" s="45"/>
      <c r="CF59" s="44"/>
    </row>
    <row r="60" s="43" customFormat="1" ht="12" customHeight="1" spans="1:84">
      <c r="A60" s="94" t="s">
        <v>155</v>
      </c>
      <c r="B60" s="95">
        <v>266361</v>
      </c>
      <c r="C60" s="96">
        <f t="shared" si="69"/>
        <v>0.0158</v>
      </c>
      <c r="D60" s="97">
        <f t="shared" si="70"/>
        <v>3.24</v>
      </c>
      <c r="E60" s="98">
        <v>815</v>
      </c>
      <c r="F60" s="99">
        <v>13902</v>
      </c>
      <c r="G60" s="100">
        <f t="shared" si="71"/>
        <v>0.0229</v>
      </c>
      <c r="H60" s="101">
        <f t="shared" si="72"/>
        <v>65.77</v>
      </c>
      <c r="I60" s="115"/>
      <c r="J60" s="115">
        <v>1</v>
      </c>
      <c r="K60" s="115"/>
      <c r="L60" s="115">
        <v>283</v>
      </c>
      <c r="M60" s="116">
        <f t="shared" si="73"/>
        <v>0.0445</v>
      </c>
      <c r="N60" s="101">
        <f t="shared" si="49"/>
        <v>31.31</v>
      </c>
      <c r="O60" s="101"/>
      <c r="P60" s="101">
        <f t="shared" si="86"/>
        <v>31.31</v>
      </c>
      <c r="Q60" s="121">
        <v>0</v>
      </c>
      <c r="R60" s="130">
        <v>0</v>
      </c>
      <c r="S60" s="123">
        <f t="shared" si="74"/>
        <v>0</v>
      </c>
      <c r="T60" s="123">
        <f t="shared" si="57"/>
        <v>0</v>
      </c>
      <c r="U60" s="116">
        <f t="shared" si="75"/>
        <v>0</v>
      </c>
      <c r="V60" s="101">
        <f t="shared" si="76"/>
        <v>0</v>
      </c>
      <c r="W60" s="131"/>
      <c r="X60" s="125"/>
      <c r="Y60" s="125"/>
      <c r="Z60" s="82"/>
      <c r="AA60" s="82">
        <v>3</v>
      </c>
      <c r="AB60" s="82">
        <v>1</v>
      </c>
      <c r="AC60" s="82">
        <v>1</v>
      </c>
      <c r="AD60" s="142">
        <f t="shared" si="77"/>
        <v>0.2605</v>
      </c>
      <c r="AE60" s="84">
        <f t="shared" si="78"/>
        <v>77.94</v>
      </c>
      <c r="AF60" s="98">
        <v>1</v>
      </c>
      <c r="AG60" s="98"/>
      <c r="AH60" s="98">
        <v>250</v>
      </c>
      <c r="AI60" s="98"/>
      <c r="AJ60" s="98"/>
      <c r="AK60" s="98"/>
      <c r="AL60" s="98"/>
      <c r="AM60" s="98"/>
      <c r="AN60" s="147">
        <v>0.0159</v>
      </c>
      <c r="AO60" s="97">
        <f t="shared" si="60"/>
        <v>3.03</v>
      </c>
      <c r="AP60" s="163"/>
      <c r="AQ60" s="156">
        <v>491</v>
      </c>
      <c r="AR60" s="96">
        <f t="shared" si="79"/>
        <v>0.00119527828561552</v>
      </c>
      <c r="AS60" s="97">
        <f t="shared" si="80"/>
        <v>0.45</v>
      </c>
      <c r="AT60" s="157">
        <v>6295</v>
      </c>
      <c r="AU60" s="157">
        <v>100</v>
      </c>
      <c r="AV60" s="157">
        <v>50</v>
      </c>
      <c r="AW60" s="174"/>
      <c r="AX60" s="174"/>
      <c r="AY60" s="96">
        <f t="shared" si="81"/>
        <v>0.00735086698777325</v>
      </c>
      <c r="AZ60" s="97">
        <f t="shared" si="82"/>
        <v>9.99</v>
      </c>
      <c r="BA60" s="82"/>
      <c r="BB60" s="82"/>
      <c r="BC60" s="82"/>
      <c r="BD60" s="82">
        <v>1</v>
      </c>
      <c r="BE60" s="82"/>
      <c r="BF60" s="82"/>
      <c r="BG60" s="82">
        <v>1</v>
      </c>
      <c r="BH60" s="131">
        <f t="shared" si="83"/>
        <v>0.0053</v>
      </c>
      <c r="BI60" s="97">
        <f t="shared" si="62"/>
        <v>4.2</v>
      </c>
      <c r="BJ60" s="98"/>
      <c r="BK60" s="99"/>
      <c r="BL60" s="116"/>
      <c r="BM60" s="186"/>
      <c r="BN60" s="187"/>
      <c r="BO60" s="186"/>
      <c r="BP60" s="186">
        <f t="shared" si="87"/>
        <v>4.2</v>
      </c>
      <c r="BQ60" s="98">
        <v>73</v>
      </c>
      <c r="BR60" s="116">
        <f t="shared" si="44"/>
        <v>0.0189364461738003</v>
      </c>
      <c r="BS60" s="188">
        <f t="shared" si="52"/>
        <v>12.04</v>
      </c>
      <c r="BT60" s="189"/>
      <c r="BU60" s="189"/>
      <c r="BV60" s="194">
        <v>1</v>
      </c>
      <c r="BW60" s="116">
        <f t="shared" si="84"/>
        <v>0.00183908045977011</v>
      </c>
      <c r="BX60" s="188">
        <f t="shared" si="85"/>
        <v>0.18</v>
      </c>
      <c r="BY60" s="195"/>
      <c r="BZ60" s="196"/>
      <c r="CA60" s="188"/>
      <c r="CB60" s="101"/>
      <c r="CC60" s="84">
        <v>0</v>
      </c>
      <c r="CD60" s="208">
        <f t="shared" si="88"/>
        <v>208.15</v>
      </c>
      <c r="CE60" s="45"/>
      <c r="CF60" s="44"/>
    </row>
    <row r="61" s="43" customFormat="1" ht="12" customHeight="1" spans="1:84">
      <c r="A61" s="94" t="s">
        <v>300</v>
      </c>
      <c r="B61" s="95">
        <v>24719</v>
      </c>
      <c r="C61" s="96">
        <f t="shared" si="69"/>
        <v>0.0015</v>
      </c>
      <c r="D61" s="97">
        <f t="shared" si="70"/>
        <v>0.31</v>
      </c>
      <c r="E61" s="98">
        <v>68</v>
      </c>
      <c r="F61" s="99">
        <v>1412</v>
      </c>
      <c r="G61" s="100">
        <f t="shared" si="71"/>
        <v>0.0021</v>
      </c>
      <c r="H61" s="101">
        <f t="shared" si="72"/>
        <v>6.03</v>
      </c>
      <c r="I61" s="115"/>
      <c r="J61" s="115"/>
      <c r="K61" s="115"/>
      <c r="L61" s="115">
        <v>12</v>
      </c>
      <c r="M61" s="116">
        <f t="shared" si="73"/>
        <v>0.0002</v>
      </c>
      <c r="N61" s="101">
        <f t="shared" si="49"/>
        <v>0.14</v>
      </c>
      <c r="O61" s="101"/>
      <c r="P61" s="101">
        <f t="shared" si="86"/>
        <v>0.14</v>
      </c>
      <c r="Q61" s="121">
        <v>0</v>
      </c>
      <c r="R61" s="130">
        <v>0</v>
      </c>
      <c r="S61" s="123">
        <f t="shared" si="74"/>
        <v>0</v>
      </c>
      <c r="T61" s="123">
        <f t="shared" si="57"/>
        <v>0</v>
      </c>
      <c r="U61" s="116">
        <f t="shared" si="75"/>
        <v>0</v>
      </c>
      <c r="V61" s="101">
        <f t="shared" si="76"/>
        <v>0</v>
      </c>
      <c r="W61" s="131"/>
      <c r="X61" s="125"/>
      <c r="Y61" s="125"/>
      <c r="Z61" s="82">
        <v>1</v>
      </c>
      <c r="AA61" s="82"/>
      <c r="AB61" s="82"/>
      <c r="AC61" s="82"/>
      <c r="AD61" s="142">
        <f t="shared" si="77"/>
        <v>0.0206</v>
      </c>
      <c r="AE61" s="84">
        <f t="shared" si="78"/>
        <v>6.16</v>
      </c>
      <c r="AF61" s="98">
        <v>1</v>
      </c>
      <c r="AG61" s="98"/>
      <c r="AH61" s="98"/>
      <c r="AI61" s="98"/>
      <c r="AJ61" s="98"/>
      <c r="AK61" s="98"/>
      <c r="AL61" s="98"/>
      <c r="AM61" s="98"/>
      <c r="AN61" s="147">
        <v>0.0027</v>
      </c>
      <c r="AO61" s="97">
        <f t="shared" si="60"/>
        <v>0.51</v>
      </c>
      <c r="AP61" s="163"/>
      <c r="AQ61" s="156">
        <v>47</v>
      </c>
      <c r="AR61" s="96">
        <f t="shared" si="79"/>
        <v>0.000114415640374602</v>
      </c>
      <c r="AS61" s="97">
        <f t="shared" si="80"/>
        <v>0.04</v>
      </c>
      <c r="AT61" s="157">
        <v>765</v>
      </c>
      <c r="AU61" s="157">
        <v>48</v>
      </c>
      <c r="AV61" s="157">
        <v>24</v>
      </c>
      <c r="AW61" s="174"/>
      <c r="AX61" s="174"/>
      <c r="AY61" s="96">
        <f t="shared" si="81"/>
        <v>0.00208867358280845</v>
      </c>
      <c r="AZ61" s="97">
        <f t="shared" si="82"/>
        <v>2.84</v>
      </c>
      <c r="BA61" s="82"/>
      <c r="BB61" s="82"/>
      <c r="BC61" s="82"/>
      <c r="BD61" s="82">
        <v>1</v>
      </c>
      <c r="BE61" s="82"/>
      <c r="BF61" s="82"/>
      <c r="BG61" s="82">
        <v>1</v>
      </c>
      <c r="BH61" s="131">
        <f t="shared" si="83"/>
        <v>0.0053</v>
      </c>
      <c r="BI61" s="97">
        <f t="shared" si="62"/>
        <v>4.2</v>
      </c>
      <c r="BJ61" s="98"/>
      <c r="BK61" s="99"/>
      <c r="BL61" s="116"/>
      <c r="BM61" s="186"/>
      <c r="BN61" s="187"/>
      <c r="BO61" s="186"/>
      <c r="BP61" s="186">
        <f t="shared" si="87"/>
        <v>4.2</v>
      </c>
      <c r="BQ61" s="98">
        <v>29</v>
      </c>
      <c r="BR61" s="116">
        <f t="shared" si="44"/>
        <v>0.00752269779507134</v>
      </c>
      <c r="BS61" s="188">
        <f t="shared" si="52"/>
        <v>4.78</v>
      </c>
      <c r="BT61" s="189">
        <v>1</v>
      </c>
      <c r="BU61" s="189"/>
      <c r="BV61" s="194">
        <v>1</v>
      </c>
      <c r="BW61" s="116">
        <f t="shared" si="84"/>
        <v>0.0114776346766376</v>
      </c>
      <c r="BX61" s="188">
        <f t="shared" si="85"/>
        <v>1.1</v>
      </c>
      <c r="BY61" s="195"/>
      <c r="BZ61" s="196"/>
      <c r="CA61" s="188"/>
      <c r="CB61" s="200"/>
      <c r="CC61" s="84">
        <v>0</v>
      </c>
      <c r="CD61" s="208">
        <f t="shared" si="88"/>
        <v>26.11</v>
      </c>
      <c r="CE61" s="45"/>
      <c r="CF61" s="44"/>
    </row>
    <row r="62" s="43" customFormat="1" ht="12" customHeight="1" spans="1:84">
      <c r="A62" s="94" t="s">
        <v>301</v>
      </c>
      <c r="B62" s="95">
        <v>34399</v>
      </c>
      <c r="C62" s="96">
        <f t="shared" si="69"/>
        <v>0.002</v>
      </c>
      <c r="D62" s="97">
        <f t="shared" si="70"/>
        <v>0.41</v>
      </c>
      <c r="E62" s="98">
        <v>172</v>
      </c>
      <c r="F62" s="99">
        <v>1825</v>
      </c>
      <c r="G62" s="100">
        <f t="shared" si="71"/>
        <v>0.0041</v>
      </c>
      <c r="H62" s="101">
        <f t="shared" si="72"/>
        <v>11.78</v>
      </c>
      <c r="I62" s="115"/>
      <c r="J62" s="115"/>
      <c r="K62" s="115"/>
      <c r="L62" s="115">
        <v>18</v>
      </c>
      <c r="M62" s="116">
        <f t="shared" si="73"/>
        <v>0.0003</v>
      </c>
      <c r="N62" s="101">
        <f t="shared" si="49"/>
        <v>0.21</v>
      </c>
      <c r="O62" s="101"/>
      <c r="P62" s="101">
        <f t="shared" si="86"/>
        <v>0.21</v>
      </c>
      <c r="Q62" s="121">
        <v>0</v>
      </c>
      <c r="R62" s="130">
        <v>0</v>
      </c>
      <c r="S62" s="123">
        <f t="shared" si="74"/>
        <v>0</v>
      </c>
      <c r="T62" s="123">
        <f t="shared" si="57"/>
        <v>0</v>
      </c>
      <c r="U62" s="116">
        <f t="shared" si="75"/>
        <v>0</v>
      </c>
      <c r="V62" s="101">
        <f t="shared" si="76"/>
        <v>0</v>
      </c>
      <c r="W62" s="131"/>
      <c r="X62" s="125"/>
      <c r="Y62" s="125"/>
      <c r="Z62" s="82"/>
      <c r="AA62" s="82"/>
      <c r="AB62" s="82"/>
      <c r="AC62" s="82"/>
      <c r="AD62" s="142">
        <f t="shared" si="77"/>
        <v>0</v>
      </c>
      <c r="AE62" s="84">
        <f t="shared" si="78"/>
        <v>0</v>
      </c>
      <c r="AF62" s="98">
        <v>1</v>
      </c>
      <c r="AG62" s="98"/>
      <c r="AH62" s="98"/>
      <c r="AI62" s="98"/>
      <c r="AJ62" s="98"/>
      <c r="AK62" s="98">
        <v>1</v>
      </c>
      <c r="AL62" s="98"/>
      <c r="AM62" s="98"/>
      <c r="AN62" s="147">
        <v>0.0053</v>
      </c>
      <c r="AO62" s="97">
        <f t="shared" si="60"/>
        <v>1.01</v>
      </c>
      <c r="AP62" s="163"/>
      <c r="AQ62" s="156">
        <v>67</v>
      </c>
      <c r="AR62" s="96">
        <f t="shared" si="79"/>
        <v>0.000163103146916985</v>
      </c>
      <c r="AS62" s="97">
        <f t="shared" si="80"/>
        <v>0.06</v>
      </c>
      <c r="AT62" s="157">
        <v>824</v>
      </c>
      <c r="AU62" s="157">
        <v>28</v>
      </c>
      <c r="AV62" s="157">
        <v>14</v>
      </c>
      <c r="AW62" s="174"/>
      <c r="AX62" s="174"/>
      <c r="AY62" s="96">
        <f t="shared" si="81"/>
        <v>0.00145940274175621</v>
      </c>
      <c r="AZ62" s="97">
        <f t="shared" si="82"/>
        <v>1.98</v>
      </c>
      <c r="BA62" s="82"/>
      <c r="BB62" s="82">
        <v>1</v>
      </c>
      <c r="BC62" s="82"/>
      <c r="BD62" s="82">
        <v>1</v>
      </c>
      <c r="BE62" s="82"/>
      <c r="BF62" s="82"/>
      <c r="BG62" s="82">
        <v>1</v>
      </c>
      <c r="BH62" s="131">
        <f t="shared" si="83"/>
        <v>0.0092</v>
      </c>
      <c r="BI62" s="97">
        <f t="shared" si="62"/>
        <v>7.29</v>
      </c>
      <c r="BJ62" s="98"/>
      <c r="BK62" s="99"/>
      <c r="BL62" s="116"/>
      <c r="BM62" s="186"/>
      <c r="BN62" s="187"/>
      <c r="BO62" s="186"/>
      <c r="BP62" s="186">
        <f t="shared" si="87"/>
        <v>7.29</v>
      </c>
      <c r="BQ62" s="98">
        <v>29</v>
      </c>
      <c r="BR62" s="116">
        <f t="shared" si="44"/>
        <v>0.00752269779507134</v>
      </c>
      <c r="BS62" s="188">
        <f t="shared" si="52"/>
        <v>4.78</v>
      </c>
      <c r="BT62" s="189">
        <v>1</v>
      </c>
      <c r="BU62" s="189"/>
      <c r="BV62" s="194">
        <v>1</v>
      </c>
      <c r="BW62" s="116">
        <f t="shared" si="84"/>
        <v>0.0114776346766376</v>
      </c>
      <c r="BX62" s="188">
        <f t="shared" si="85"/>
        <v>1.1</v>
      </c>
      <c r="BY62" s="195"/>
      <c r="BZ62" s="196"/>
      <c r="CA62" s="188"/>
      <c r="CB62" s="200"/>
      <c r="CC62" s="84">
        <v>0</v>
      </c>
      <c r="CD62" s="208">
        <f t="shared" si="88"/>
        <v>28.62</v>
      </c>
      <c r="CE62" s="45"/>
      <c r="CF62" s="44"/>
    </row>
    <row r="63" s="43" customFormat="1" ht="12" customHeight="1" spans="1:84">
      <c r="A63" s="94" t="s">
        <v>158</v>
      </c>
      <c r="B63" s="95">
        <v>179355</v>
      </c>
      <c r="C63" s="96">
        <f t="shared" si="69"/>
        <v>0.0107</v>
      </c>
      <c r="D63" s="97">
        <f t="shared" si="70"/>
        <v>2.19</v>
      </c>
      <c r="E63" s="98">
        <v>123</v>
      </c>
      <c r="F63" s="99">
        <v>11536</v>
      </c>
      <c r="G63" s="100">
        <f t="shared" si="71"/>
        <v>0.0094</v>
      </c>
      <c r="H63" s="101">
        <f t="shared" si="72"/>
        <v>27</v>
      </c>
      <c r="I63" s="115"/>
      <c r="J63" s="115"/>
      <c r="K63" s="115"/>
      <c r="L63" s="115">
        <v>90</v>
      </c>
      <c r="M63" s="116">
        <f t="shared" si="73"/>
        <v>0.0014</v>
      </c>
      <c r="N63" s="101">
        <f t="shared" si="49"/>
        <v>0.98</v>
      </c>
      <c r="O63" s="101"/>
      <c r="P63" s="101">
        <f t="shared" si="86"/>
        <v>0.98</v>
      </c>
      <c r="Q63" s="121">
        <v>0</v>
      </c>
      <c r="R63" s="130">
        <v>0</v>
      </c>
      <c r="S63" s="123">
        <f t="shared" si="74"/>
        <v>0</v>
      </c>
      <c r="T63" s="123">
        <f t="shared" si="57"/>
        <v>0</v>
      </c>
      <c r="U63" s="116">
        <f t="shared" si="75"/>
        <v>0</v>
      </c>
      <c r="V63" s="101">
        <f t="shared" si="76"/>
        <v>0</v>
      </c>
      <c r="W63" s="131"/>
      <c r="X63" s="125"/>
      <c r="Y63" s="125"/>
      <c r="Z63" s="82"/>
      <c r="AA63" s="82"/>
      <c r="AB63" s="82"/>
      <c r="AC63" s="82"/>
      <c r="AD63" s="142">
        <f t="shared" si="77"/>
        <v>0</v>
      </c>
      <c r="AE63" s="84">
        <f t="shared" si="78"/>
        <v>0</v>
      </c>
      <c r="AF63" s="98">
        <v>1</v>
      </c>
      <c r="AG63" s="98"/>
      <c r="AH63" s="98"/>
      <c r="AI63" s="98"/>
      <c r="AJ63" s="98"/>
      <c r="AK63" s="98">
        <v>1</v>
      </c>
      <c r="AL63" s="98"/>
      <c r="AM63" s="98"/>
      <c r="AN63" s="147">
        <v>0.0053</v>
      </c>
      <c r="AO63" s="97">
        <f t="shared" si="60"/>
        <v>1.01</v>
      </c>
      <c r="AP63" s="155">
        <v>1</v>
      </c>
      <c r="AQ63" s="156">
        <v>446</v>
      </c>
      <c r="AR63" s="96">
        <f t="shared" si="79"/>
        <v>0.00225423155291236</v>
      </c>
      <c r="AS63" s="97">
        <f t="shared" si="80"/>
        <v>0.84</v>
      </c>
      <c r="AT63" s="157">
        <v>5003</v>
      </c>
      <c r="AU63" s="157">
        <v>88</v>
      </c>
      <c r="AV63" s="157">
        <v>44</v>
      </c>
      <c r="AW63" s="174"/>
      <c r="AX63" s="174"/>
      <c r="AY63" s="96">
        <f t="shared" si="81"/>
        <v>0.00612640459429418</v>
      </c>
      <c r="AZ63" s="97">
        <f t="shared" si="82"/>
        <v>8.33</v>
      </c>
      <c r="BA63" s="82"/>
      <c r="BB63" s="82"/>
      <c r="BC63" s="82"/>
      <c r="BD63" s="82">
        <v>1</v>
      </c>
      <c r="BE63" s="82"/>
      <c r="BF63" s="82"/>
      <c r="BG63" s="82">
        <v>1</v>
      </c>
      <c r="BH63" s="131">
        <f t="shared" si="83"/>
        <v>0.0053</v>
      </c>
      <c r="BI63" s="97">
        <f t="shared" si="62"/>
        <v>4.2</v>
      </c>
      <c r="BJ63" s="98"/>
      <c r="BK63" s="99"/>
      <c r="BL63" s="116"/>
      <c r="BM63" s="186"/>
      <c r="BN63" s="187"/>
      <c r="BO63" s="186"/>
      <c r="BP63" s="186">
        <f t="shared" si="87"/>
        <v>4.2</v>
      </c>
      <c r="BQ63" s="98">
        <v>67</v>
      </c>
      <c r="BR63" s="116">
        <f t="shared" si="44"/>
        <v>0.0173800259403372</v>
      </c>
      <c r="BS63" s="188">
        <f t="shared" si="52"/>
        <v>11.05</v>
      </c>
      <c r="BT63" s="189">
        <v>1</v>
      </c>
      <c r="BU63" s="189"/>
      <c r="BV63" s="194">
        <v>1</v>
      </c>
      <c r="BW63" s="116">
        <f t="shared" si="84"/>
        <v>0.0114776346766376</v>
      </c>
      <c r="BX63" s="188">
        <f t="shared" si="85"/>
        <v>1.1</v>
      </c>
      <c r="BY63" s="195"/>
      <c r="BZ63" s="196"/>
      <c r="CA63" s="188"/>
      <c r="CB63" s="200"/>
      <c r="CC63" s="211">
        <v>0</v>
      </c>
      <c r="CD63" s="208">
        <f t="shared" si="88"/>
        <v>56.7</v>
      </c>
      <c r="CE63" s="45"/>
      <c r="CF63" s="44"/>
    </row>
    <row r="64" s="43" customFormat="1" ht="12" customHeight="1" spans="1:84">
      <c r="A64" s="94" t="s">
        <v>159</v>
      </c>
      <c r="B64" s="95">
        <v>727982</v>
      </c>
      <c r="C64" s="96">
        <f t="shared" si="69"/>
        <v>0.0433</v>
      </c>
      <c r="D64" s="97">
        <f t="shared" si="70"/>
        <v>8.88</v>
      </c>
      <c r="E64" s="98">
        <v>844</v>
      </c>
      <c r="F64" s="99">
        <v>19803</v>
      </c>
      <c r="G64" s="100">
        <f t="shared" si="71"/>
        <v>0.0271</v>
      </c>
      <c r="H64" s="101">
        <f t="shared" si="72"/>
        <v>77.83</v>
      </c>
      <c r="I64" s="115"/>
      <c r="J64" s="115"/>
      <c r="K64" s="115"/>
      <c r="L64" s="115">
        <v>266</v>
      </c>
      <c r="M64" s="116">
        <f t="shared" si="73"/>
        <v>0.0043</v>
      </c>
      <c r="N64" s="101">
        <f t="shared" si="49"/>
        <v>3.03</v>
      </c>
      <c r="O64" s="101"/>
      <c r="P64" s="101">
        <f t="shared" si="86"/>
        <v>3.03</v>
      </c>
      <c r="Q64" s="121">
        <v>0</v>
      </c>
      <c r="R64" s="130">
        <v>0</v>
      </c>
      <c r="S64" s="123">
        <f t="shared" si="74"/>
        <v>0</v>
      </c>
      <c r="T64" s="123">
        <f t="shared" si="57"/>
        <v>0</v>
      </c>
      <c r="U64" s="116">
        <f t="shared" si="75"/>
        <v>0</v>
      </c>
      <c r="V64" s="101">
        <f t="shared" si="76"/>
        <v>0</v>
      </c>
      <c r="W64" s="132"/>
      <c r="X64" s="125"/>
      <c r="Y64" s="125"/>
      <c r="Z64" s="143"/>
      <c r="AA64" s="143">
        <v>2</v>
      </c>
      <c r="AB64" s="143"/>
      <c r="AC64" s="143"/>
      <c r="AD64" s="142">
        <f t="shared" si="77"/>
        <v>0.0165</v>
      </c>
      <c r="AE64" s="84">
        <f t="shared" si="78"/>
        <v>4.94</v>
      </c>
      <c r="AF64" s="98">
        <v>1</v>
      </c>
      <c r="AG64" s="98"/>
      <c r="AH64" s="98">
        <v>250</v>
      </c>
      <c r="AI64" s="98">
        <v>50</v>
      </c>
      <c r="AJ64" s="98"/>
      <c r="AK64" s="98">
        <v>1</v>
      </c>
      <c r="AL64" s="98">
        <v>1</v>
      </c>
      <c r="AM64" s="98"/>
      <c r="AN64" s="147">
        <v>0.1273</v>
      </c>
      <c r="AO64" s="97">
        <f t="shared" si="60"/>
        <v>24.24</v>
      </c>
      <c r="AP64" s="155">
        <v>4</v>
      </c>
      <c r="AQ64" s="156">
        <v>1054</v>
      </c>
      <c r="AR64" s="96">
        <f t="shared" si="79"/>
        <v>0.00723983222285246</v>
      </c>
      <c r="AS64" s="97">
        <f t="shared" si="80"/>
        <v>2.71</v>
      </c>
      <c r="AT64" s="157">
        <v>10051</v>
      </c>
      <c r="AU64" s="157">
        <v>100</v>
      </c>
      <c r="AV64" s="157">
        <v>50</v>
      </c>
      <c r="AW64" s="174"/>
      <c r="AX64" s="174"/>
      <c r="AY64" s="96">
        <f t="shared" si="81"/>
        <v>0.00974724786958133</v>
      </c>
      <c r="AZ64" s="97">
        <f t="shared" si="82"/>
        <v>13.25</v>
      </c>
      <c r="BA64" s="143">
        <v>1</v>
      </c>
      <c r="BB64" s="143">
        <v>1</v>
      </c>
      <c r="BC64" s="143"/>
      <c r="BD64" s="143">
        <v>1</v>
      </c>
      <c r="BE64" s="143"/>
      <c r="BF64" s="143"/>
      <c r="BG64" s="143"/>
      <c r="BH64" s="132">
        <f t="shared" si="83"/>
        <v>0.0219</v>
      </c>
      <c r="BI64" s="97">
        <f t="shared" si="62"/>
        <v>17.36</v>
      </c>
      <c r="BJ64" s="98"/>
      <c r="BK64" s="99"/>
      <c r="BL64" s="116"/>
      <c r="BM64" s="186"/>
      <c r="BN64" s="187"/>
      <c r="BO64" s="186"/>
      <c r="BP64" s="186">
        <f t="shared" si="87"/>
        <v>17.36</v>
      </c>
      <c r="BQ64" s="98">
        <v>61</v>
      </c>
      <c r="BR64" s="116">
        <f t="shared" si="44"/>
        <v>0.0158236057068742</v>
      </c>
      <c r="BS64" s="188">
        <f t="shared" si="52"/>
        <v>10.06</v>
      </c>
      <c r="BT64" s="189"/>
      <c r="BU64" s="189">
        <v>1</v>
      </c>
      <c r="BV64" s="194">
        <v>1</v>
      </c>
      <c r="BW64" s="116">
        <f t="shared" si="84"/>
        <v>0.00628352490421456</v>
      </c>
      <c r="BX64" s="188">
        <f t="shared" si="85"/>
        <v>0.6</v>
      </c>
      <c r="BY64" s="195"/>
      <c r="BZ64" s="196"/>
      <c r="CA64" s="188"/>
      <c r="CB64" s="202"/>
      <c r="CC64" s="84">
        <v>0</v>
      </c>
      <c r="CD64" s="208">
        <f t="shared" si="88"/>
        <v>162.9</v>
      </c>
      <c r="CE64" s="45"/>
      <c r="CF64" s="44"/>
    </row>
    <row r="65" s="43" customFormat="1" ht="12" customHeight="1" spans="1:84">
      <c r="A65" s="94" t="s">
        <v>160</v>
      </c>
      <c r="B65" s="95">
        <v>158404</v>
      </c>
      <c r="C65" s="96">
        <f t="shared" si="69"/>
        <v>0.0094</v>
      </c>
      <c r="D65" s="97">
        <f t="shared" si="70"/>
        <v>1.93</v>
      </c>
      <c r="E65" s="98">
        <v>162</v>
      </c>
      <c r="F65" s="99">
        <v>11281</v>
      </c>
      <c r="G65" s="100">
        <f t="shared" si="71"/>
        <v>0.0099</v>
      </c>
      <c r="H65" s="101">
        <f t="shared" si="72"/>
        <v>28.43</v>
      </c>
      <c r="I65" s="115"/>
      <c r="J65" s="115"/>
      <c r="K65" s="115"/>
      <c r="L65" s="115">
        <v>135</v>
      </c>
      <c r="M65" s="116">
        <f t="shared" si="73"/>
        <v>0.0022</v>
      </c>
      <c r="N65" s="101">
        <f t="shared" si="49"/>
        <v>1.55</v>
      </c>
      <c r="O65" s="101"/>
      <c r="P65" s="101">
        <f t="shared" si="86"/>
        <v>1.55</v>
      </c>
      <c r="Q65" s="121">
        <v>0</v>
      </c>
      <c r="R65" s="130">
        <v>0</v>
      </c>
      <c r="S65" s="123">
        <f t="shared" si="74"/>
        <v>0</v>
      </c>
      <c r="T65" s="123">
        <f t="shared" si="57"/>
        <v>0</v>
      </c>
      <c r="U65" s="116">
        <f t="shared" si="75"/>
        <v>0</v>
      </c>
      <c r="V65" s="101">
        <f t="shared" si="76"/>
        <v>0</v>
      </c>
      <c r="W65" s="132"/>
      <c r="X65" s="125"/>
      <c r="Y65" s="125"/>
      <c r="Z65" s="143"/>
      <c r="AA65" s="143"/>
      <c r="AB65" s="143"/>
      <c r="AC65" s="143"/>
      <c r="AD65" s="142">
        <f t="shared" si="77"/>
        <v>0</v>
      </c>
      <c r="AE65" s="84">
        <f t="shared" si="78"/>
        <v>0</v>
      </c>
      <c r="AF65" s="98">
        <v>1</v>
      </c>
      <c r="AG65" s="98"/>
      <c r="AH65" s="98"/>
      <c r="AI65" s="98"/>
      <c r="AJ65" s="98"/>
      <c r="AK65" s="98"/>
      <c r="AL65" s="98"/>
      <c r="AM65" s="98"/>
      <c r="AN65" s="147">
        <v>0.0027</v>
      </c>
      <c r="AO65" s="97">
        <f t="shared" si="60"/>
        <v>0.51</v>
      </c>
      <c r="AP65" s="163"/>
      <c r="AQ65" s="156">
        <v>427</v>
      </c>
      <c r="AR65" s="96">
        <f t="shared" si="79"/>
        <v>0.00103947826467989</v>
      </c>
      <c r="AS65" s="97">
        <f t="shared" si="80"/>
        <v>0.39</v>
      </c>
      <c r="AT65" s="157">
        <v>4588</v>
      </c>
      <c r="AU65" s="157">
        <v>68</v>
      </c>
      <c r="AV65" s="157">
        <v>34</v>
      </c>
      <c r="AW65" s="174"/>
      <c r="AX65" s="174"/>
      <c r="AY65" s="96">
        <f t="shared" si="81"/>
        <v>0.00519471507965913</v>
      </c>
      <c r="AZ65" s="97">
        <f t="shared" si="82"/>
        <v>7.06</v>
      </c>
      <c r="BA65" s="143">
        <v>1</v>
      </c>
      <c r="BB65" s="143"/>
      <c r="BC65" s="143"/>
      <c r="BD65" s="143">
        <v>1</v>
      </c>
      <c r="BE65" s="143"/>
      <c r="BF65" s="143"/>
      <c r="BG65" s="143"/>
      <c r="BH65" s="132">
        <f t="shared" si="83"/>
        <v>0.0181</v>
      </c>
      <c r="BI65" s="97">
        <f t="shared" si="62"/>
        <v>14.35</v>
      </c>
      <c r="BJ65" s="98"/>
      <c r="BK65" s="99"/>
      <c r="BL65" s="116"/>
      <c r="BM65" s="186"/>
      <c r="BN65" s="187"/>
      <c r="BO65" s="186"/>
      <c r="BP65" s="186">
        <f t="shared" si="87"/>
        <v>14.35</v>
      </c>
      <c r="BQ65" s="98">
        <v>53</v>
      </c>
      <c r="BR65" s="116">
        <f t="shared" si="44"/>
        <v>0.0137483787289235</v>
      </c>
      <c r="BS65" s="188">
        <f t="shared" si="52"/>
        <v>8.74</v>
      </c>
      <c r="BT65" s="189">
        <v>1</v>
      </c>
      <c r="BU65" s="189"/>
      <c r="BV65" s="194">
        <v>1</v>
      </c>
      <c r="BW65" s="116">
        <f t="shared" si="84"/>
        <v>0.0114776346766376</v>
      </c>
      <c r="BX65" s="188">
        <f t="shared" si="85"/>
        <v>1.1</v>
      </c>
      <c r="BY65" s="195"/>
      <c r="BZ65" s="196"/>
      <c r="CA65" s="188"/>
      <c r="CB65" s="202"/>
      <c r="CC65" s="84">
        <v>0</v>
      </c>
      <c r="CD65" s="208">
        <f t="shared" si="88"/>
        <v>64.06</v>
      </c>
      <c r="CE65" s="45"/>
      <c r="CF65" s="44"/>
    </row>
    <row r="66" s="43" customFormat="1" ht="12" customHeight="1" spans="1:84">
      <c r="A66" s="94" t="s">
        <v>161</v>
      </c>
      <c r="B66" s="95">
        <v>328496</v>
      </c>
      <c r="C66" s="96">
        <f t="shared" si="69"/>
        <v>0.0195</v>
      </c>
      <c r="D66" s="97">
        <f t="shared" si="70"/>
        <v>4</v>
      </c>
      <c r="E66" s="98">
        <v>220</v>
      </c>
      <c r="F66" s="99">
        <v>11131</v>
      </c>
      <c r="G66" s="100">
        <f t="shared" si="71"/>
        <v>0.0108</v>
      </c>
      <c r="H66" s="101">
        <f t="shared" si="72"/>
        <v>31.02</v>
      </c>
      <c r="I66" s="115"/>
      <c r="J66" s="115"/>
      <c r="K66" s="115"/>
      <c r="L66" s="115">
        <v>292</v>
      </c>
      <c r="M66" s="116">
        <f t="shared" si="73"/>
        <v>0.0047</v>
      </c>
      <c r="N66" s="101">
        <f t="shared" si="49"/>
        <v>3.31</v>
      </c>
      <c r="O66" s="101"/>
      <c r="P66" s="101">
        <f t="shared" si="86"/>
        <v>3.31</v>
      </c>
      <c r="Q66" s="121">
        <v>300</v>
      </c>
      <c r="R66" s="130">
        <v>300</v>
      </c>
      <c r="S66" s="123">
        <f t="shared" si="74"/>
        <v>0.0026</v>
      </c>
      <c r="T66" s="123">
        <f t="shared" si="57"/>
        <v>0.0026</v>
      </c>
      <c r="U66" s="116">
        <f t="shared" si="75"/>
        <v>0.0032</v>
      </c>
      <c r="V66" s="101">
        <f t="shared" si="76"/>
        <v>4.25</v>
      </c>
      <c r="W66" s="132"/>
      <c r="X66" s="125"/>
      <c r="Y66" s="125"/>
      <c r="Z66" s="143"/>
      <c r="AA66" s="143"/>
      <c r="AB66" s="143"/>
      <c r="AC66" s="143"/>
      <c r="AD66" s="142">
        <f t="shared" si="77"/>
        <v>0</v>
      </c>
      <c r="AE66" s="84">
        <f t="shared" si="78"/>
        <v>0</v>
      </c>
      <c r="AF66" s="98">
        <v>1</v>
      </c>
      <c r="AG66" s="98"/>
      <c r="AH66" s="98"/>
      <c r="AI66" s="98"/>
      <c r="AJ66" s="98"/>
      <c r="AK66" s="98"/>
      <c r="AL66" s="98"/>
      <c r="AM66" s="98"/>
      <c r="AN66" s="147">
        <v>0.0027</v>
      </c>
      <c r="AO66" s="97">
        <f t="shared" si="60"/>
        <v>0.51</v>
      </c>
      <c r="AP66" s="155">
        <v>41</v>
      </c>
      <c r="AQ66" s="156">
        <v>567</v>
      </c>
      <c r="AR66" s="96">
        <f t="shared" si="79"/>
        <v>0.0492887972481821</v>
      </c>
      <c r="AS66" s="97">
        <f t="shared" si="80"/>
        <v>18.42</v>
      </c>
      <c r="AT66" s="157">
        <v>5175</v>
      </c>
      <c r="AU66" s="157">
        <v>64</v>
      </c>
      <c r="AV66" s="157">
        <v>32</v>
      </c>
      <c r="AW66" s="174"/>
      <c r="AX66" s="174"/>
      <c r="AY66" s="96">
        <f t="shared" si="81"/>
        <v>0.0054358466098555</v>
      </c>
      <c r="AZ66" s="97">
        <f t="shared" si="82"/>
        <v>7.39</v>
      </c>
      <c r="BA66" s="143"/>
      <c r="BB66" s="143"/>
      <c r="BC66" s="143"/>
      <c r="BD66" s="143">
        <v>1</v>
      </c>
      <c r="BE66" s="143"/>
      <c r="BF66" s="143"/>
      <c r="BG66" s="143">
        <v>1</v>
      </c>
      <c r="BH66" s="132">
        <f t="shared" si="83"/>
        <v>0.0053</v>
      </c>
      <c r="BI66" s="97">
        <f t="shared" si="62"/>
        <v>4.2</v>
      </c>
      <c r="BJ66" s="98"/>
      <c r="BK66" s="99"/>
      <c r="BL66" s="116"/>
      <c r="BM66" s="186"/>
      <c r="BN66" s="187"/>
      <c r="BO66" s="186"/>
      <c r="BP66" s="186">
        <f t="shared" si="87"/>
        <v>4.2</v>
      </c>
      <c r="BQ66" s="98">
        <v>45</v>
      </c>
      <c r="BR66" s="116">
        <f t="shared" si="44"/>
        <v>0.0116731517509728</v>
      </c>
      <c r="BS66" s="188">
        <f t="shared" si="52"/>
        <v>7.42</v>
      </c>
      <c r="BT66" s="189">
        <v>1</v>
      </c>
      <c r="BU66" s="189"/>
      <c r="BV66" s="194">
        <v>1</v>
      </c>
      <c r="BW66" s="116">
        <f t="shared" si="84"/>
        <v>0.0114776346766376</v>
      </c>
      <c r="BX66" s="188">
        <f t="shared" si="85"/>
        <v>1.1</v>
      </c>
      <c r="BY66" s="195"/>
      <c r="BZ66" s="196"/>
      <c r="CA66" s="188"/>
      <c r="CB66" s="202"/>
      <c r="CC66" s="84">
        <v>0</v>
      </c>
      <c r="CD66" s="208">
        <f t="shared" si="88"/>
        <v>81.62</v>
      </c>
      <c r="CE66" s="45"/>
      <c r="CF66" s="44"/>
    </row>
    <row r="67" s="43" customFormat="1" ht="12" customHeight="1" spans="1:84">
      <c r="A67" s="94" t="s">
        <v>162</v>
      </c>
      <c r="B67" s="95">
        <v>257774</v>
      </c>
      <c r="C67" s="96">
        <f t="shared" si="69"/>
        <v>0.0153</v>
      </c>
      <c r="D67" s="97">
        <f t="shared" si="70"/>
        <v>3.14</v>
      </c>
      <c r="E67" s="98">
        <v>1235</v>
      </c>
      <c r="F67" s="99">
        <v>13331</v>
      </c>
      <c r="G67" s="100">
        <f t="shared" si="71"/>
        <v>0.0298</v>
      </c>
      <c r="H67" s="101">
        <f t="shared" si="72"/>
        <v>85.59</v>
      </c>
      <c r="I67" s="115"/>
      <c r="J67" s="115"/>
      <c r="K67" s="115"/>
      <c r="L67" s="115">
        <v>295</v>
      </c>
      <c r="M67" s="116">
        <f t="shared" si="73"/>
        <v>0.0047</v>
      </c>
      <c r="N67" s="101">
        <f t="shared" si="49"/>
        <v>3.31</v>
      </c>
      <c r="O67" s="101"/>
      <c r="P67" s="101">
        <f t="shared" si="86"/>
        <v>3.31</v>
      </c>
      <c r="Q67" s="121">
        <v>0</v>
      </c>
      <c r="R67" s="130">
        <v>0</v>
      </c>
      <c r="S67" s="123">
        <f t="shared" si="74"/>
        <v>0</v>
      </c>
      <c r="T67" s="123">
        <f t="shared" si="57"/>
        <v>0</v>
      </c>
      <c r="U67" s="116">
        <f t="shared" si="75"/>
        <v>0</v>
      </c>
      <c r="V67" s="101">
        <f t="shared" si="76"/>
        <v>0</v>
      </c>
      <c r="W67" s="132"/>
      <c r="X67" s="125"/>
      <c r="Y67" s="125"/>
      <c r="Z67" s="143"/>
      <c r="AA67" s="143"/>
      <c r="AB67" s="143"/>
      <c r="AC67" s="143"/>
      <c r="AD67" s="142">
        <f t="shared" si="77"/>
        <v>0</v>
      </c>
      <c r="AE67" s="84">
        <f t="shared" si="78"/>
        <v>0</v>
      </c>
      <c r="AF67" s="98">
        <v>1</v>
      </c>
      <c r="AG67" s="98"/>
      <c r="AH67" s="98"/>
      <c r="AI67" s="98"/>
      <c r="AJ67" s="98"/>
      <c r="AK67" s="98">
        <v>1</v>
      </c>
      <c r="AL67" s="98"/>
      <c r="AM67" s="98"/>
      <c r="AN67" s="147">
        <v>0.0053</v>
      </c>
      <c r="AO67" s="97">
        <f t="shared" si="60"/>
        <v>1.01</v>
      </c>
      <c r="AP67" s="214">
        <v>5</v>
      </c>
      <c r="AQ67" s="156">
        <v>507</v>
      </c>
      <c r="AR67" s="96">
        <f t="shared" si="79"/>
        <v>0.00707672907593547</v>
      </c>
      <c r="AS67" s="97">
        <f t="shared" si="80"/>
        <v>2.65</v>
      </c>
      <c r="AT67" s="157">
        <v>9032</v>
      </c>
      <c r="AU67" s="157">
        <v>84</v>
      </c>
      <c r="AV67" s="157">
        <v>42</v>
      </c>
      <c r="AW67" s="157">
        <v>15</v>
      </c>
      <c r="AX67" s="174">
        <v>1</v>
      </c>
      <c r="AY67" s="96">
        <f t="shared" si="81"/>
        <v>0.040056726194887</v>
      </c>
      <c r="AZ67" s="97">
        <f t="shared" si="82"/>
        <v>54.44</v>
      </c>
      <c r="BA67" s="143"/>
      <c r="BB67" s="143"/>
      <c r="BC67" s="143"/>
      <c r="BD67" s="143">
        <v>1</v>
      </c>
      <c r="BE67" s="143"/>
      <c r="BF67" s="143"/>
      <c r="BG67" s="143"/>
      <c r="BH67" s="132">
        <f t="shared" si="83"/>
        <v>0.0015</v>
      </c>
      <c r="BI67" s="97">
        <f t="shared" si="62"/>
        <v>1.19</v>
      </c>
      <c r="BJ67" s="98"/>
      <c r="BK67" s="99"/>
      <c r="BL67" s="116"/>
      <c r="BM67" s="186"/>
      <c r="BN67" s="187"/>
      <c r="BO67" s="186"/>
      <c r="BP67" s="186">
        <f t="shared" si="87"/>
        <v>1.19</v>
      </c>
      <c r="BQ67" s="98">
        <v>55</v>
      </c>
      <c r="BR67" s="116">
        <f t="shared" si="44"/>
        <v>0.0142671854734112</v>
      </c>
      <c r="BS67" s="188">
        <f t="shared" si="52"/>
        <v>9.07</v>
      </c>
      <c r="BT67" s="189"/>
      <c r="BU67" s="189"/>
      <c r="BV67" s="194">
        <v>1</v>
      </c>
      <c r="BW67" s="116">
        <f t="shared" si="84"/>
        <v>0.00183908045977011</v>
      </c>
      <c r="BX67" s="188">
        <f t="shared" si="85"/>
        <v>0.18</v>
      </c>
      <c r="BY67" s="195"/>
      <c r="BZ67" s="196"/>
      <c r="CA67" s="188"/>
      <c r="CB67" s="202"/>
      <c r="CC67" s="188">
        <v>0</v>
      </c>
      <c r="CD67" s="208">
        <f t="shared" si="88"/>
        <v>160.58</v>
      </c>
      <c r="CE67" s="45"/>
      <c r="CF67" s="44"/>
    </row>
    <row r="68" s="43" customFormat="1" ht="12" customHeight="1" spans="1:84">
      <c r="A68" s="94" t="s">
        <v>163</v>
      </c>
      <c r="B68" s="95">
        <v>113446</v>
      </c>
      <c r="C68" s="96">
        <f t="shared" si="69"/>
        <v>0.0067</v>
      </c>
      <c r="D68" s="97">
        <f t="shared" si="70"/>
        <v>1.37</v>
      </c>
      <c r="E68" s="98">
        <v>100</v>
      </c>
      <c r="F68" s="99">
        <v>7108</v>
      </c>
      <c r="G68" s="100">
        <f t="shared" si="71"/>
        <v>0.0062</v>
      </c>
      <c r="H68" s="101">
        <f t="shared" si="72"/>
        <v>17.81</v>
      </c>
      <c r="I68" s="115"/>
      <c r="J68" s="115"/>
      <c r="K68" s="115"/>
      <c r="L68" s="115">
        <v>152</v>
      </c>
      <c r="M68" s="116">
        <f t="shared" si="73"/>
        <v>0.0024</v>
      </c>
      <c r="N68" s="101">
        <f t="shared" si="49"/>
        <v>1.69</v>
      </c>
      <c r="O68" s="101"/>
      <c r="P68" s="101">
        <f t="shared" si="86"/>
        <v>1.69</v>
      </c>
      <c r="Q68" s="121">
        <v>260</v>
      </c>
      <c r="R68" s="130">
        <v>0</v>
      </c>
      <c r="S68" s="123">
        <f t="shared" si="74"/>
        <v>0.0001</v>
      </c>
      <c r="T68" s="123">
        <f t="shared" si="57"/>
        <v>0.0001</v>
      </c>
      <c r="U68" s="116">
        <f t="shared" si="75"/>
        <v>0.0001</v>
      </c>
      <c r="V68" s="101">
        <f t="shared" si="76"/>
        <v>0.13</v>
      </c>
      <c r="W68" s="132"/>
      <c r="X68" s="125"/>
      <c r="Y68" s="125"/>
      <c r="Z68" s="143"/>
      <c r="AA68" s="143"/>
      <c r="AB68" s="143"/>
      <c r="AC68" s="143"/>
      <c r="AD68" s="142">
        <f t="shared" si="77"/>
        <v>0</v>
      </c>
      <c r="AE68" s="84">
        <f t="shared" si="78"/>
        <v>0</v>
      </c>
      <c r="AF68" s="98">
        <v>1</v>
      </c>
      <c r="AG68" s="98"/>
      <c r="AH68" s="98"/>
      <c r="AI68" s="98"/>
      <c r="AJ68" s="98"/>
      <c r="AK68" s="98"/>
      <c r="AL68" s="98">
        <v>1</v>
      </c>
      <c r="AM68" s="98"/>
      <c r="AN68" s="147">
        <v>0.0929</v>
      </c>
      <c r="AO68" s="97">
        <f t="shared" si="60"/>
        <v>17.69</v>
      </c>
      <c r="AP68" s="163"/>
      <c r="AQ68" s="156">
        <v>227</v>
      </c>
      <c r="AR68" s="96">
        <f t="shared" si="79"/>
        <v>0.000552603199256055</v>
      </c>
      <c r="AS68" s="97">
        <f t="shared" si="80"/>
        <v>0.21</v>
      </c>
      <c r="AT68" s="157">
        <v>2914</v>
      </c>
      <c r="AU68" s="157">
        <v>48</v>
      </c>
      <c r="AV68" s="157">
        <v>24</v>
      </c>
      <c r="AW68" s="174"/>
      <c r="AX68" s="174"/>
      <c r="AY68" s="96">
        <f t="shared" si="81"/>
        <v>0.0034597658391997</v>
      </c>
      <c r="AZ68" s="97">
        <f t="shared" si="82"/>
        <v>4.7</v>
      </c>
      <c r="BA68" s="143">
        <v>1</v>
      </c>
      <c r="BB68" s="143">
        <v>1</v>
      </c>
      <c r="BC68" s="143"/>
      <c r="BD68" s="143">
        <v>1</v>
      </c>
      <c r="BE68" s="143"/>
      <c r="BF68" s="143"/>
      <c r="BG68" s="143">
        <v>1</v>
      </c>
      <c r="BH68" s="132">
        <f t="shared" si="83"/>
        <v>0.0257</v>
      </c>
      <c r="BI68" s="97">
        <f t="shared" si="62"/>
        <v>20.37</v>
      </c>
      <c r="BJ68" s="98"/>
      <c r="BK68" s="99"/>
      <c r="BL68" s="116"/>
      <c r="BM68" s="186"/>
      <c r="BN68" s="187"/>
      <c r="BO68" s="186"/>
      <c r="BP68" s="186">
        <f t="shared" si="87"/>
        <v>20.37</v>
      </c>
      <c r="BQ68" s="98">
        <v>55</v>
      </c>
      <c r="BR68" s="116">
        <f t="shared" si="44"/>
        <v>0.0142671854734112</v>
      </c>
      <c r="BS68" s="188">
        <f t="shared" si="52"/>
        <v>9.07</v>
      </c>
      <c r="BT68" s="189">
        <v>1</v>
      </c>
      <c r="BU68" s="189"/>
      <c r="BV68" s="194">
        <v>1</v>
      </c>
      <c r="BW68" s="116">
        <f t="shared" si="84"/>
        <v>0.0114776346766376</v>
      </c>
      <c r="BX68" s="188">
        <f t="shared" si="85"/>
        <v>1.1</v>
      </c>
      <c r="BY68" s="195"/>
      <c r="BZ68" s="196"/>
      <c r="CA68" s="188"/>
      <c r="CB68" s="202"/>
      <c r="CC68" s="84">
        <v>0</v>
      </c>
      <c r="CD68" s="208">
        <f t="shared" si="88"/>
        <v>74.14</v>
      </c>
      <c r="CE68" s="45"/>
      <c r="CF68" s="44"/>
    </row>
    <row r="69" s="48" customFormat="1" ht="170" customHeight="1" spans="2:84">
      <c r="B69" s="212" t="s">
        <v>302</v>
      </c>
      <c r="C69" s="212"/>
      <c r="D69" s="212"/>
      <c r="E69" s="212"/>
      <c r="F69" s="212"/>
      <c r="G69" s="212"/>
      <c r="H69" s="212"/>
      <c r="I69" s="212"/>
      <c r="J69" s="212"/>
      <c r="K69" s="212"/>
      <c r="L69" s="212"/>
      <c r="M69" s="212"/>
      <c r="N69" s="212"/>
      <c r="O69" s="212"/>
      <c r="P69" s="212"/>
      <c r="Q69" s="212"/>
      <c r="R69" s="212"/>
      <c r="S69" s="212"/>
      <c r="T69" s="212"/>
      <c r="U69" s="212"/>
      <c r="V69" s="212"/>
      <c r="W69" s="213"/>
      <c r="X69" s="213"/>
      <c r="Y69" s="213"/>
      <c r="Z69" s="213"/>
      <c r="AA69" s="213"/>
      <c r="AB69" s="213"/>
      <c r="AC69" s="213"/>
      <c r="AD69" s="213"/>
      <c r="AE69" s="213"/>
      <c r="AF69" s="57"/>
      <c r="AG69" s="57"/>
      <c r="AH69" s="57"/>
      <c r="AI69" s="57"/>
      <c r="AJ69" s="57"/>
      <c r="AK69" s="57"/>
      <c r="AL69" s="57"/>
      <c r="AM69" s="57"/>
      <c r="AN69" s="58"/>
      <c r="AO69" s="59"/>
      <c r="AP69" s="53"/>
      <c r="AQ69" s="53"/>
      <c r="AR69" s="51"/>
      <c r="AS69" s="51"/>
      <c r="AT69" s="53"/>
      <c r="AU69" s="53"/>
      <c r="AV69" s="53"/>
      <c r="AW69" s="53"/>
      <c r="AX69" s="53"/>
      <c r="AY69" s="51"/>
      <c r="AZ69" s="52"/>
      <c r="BA69" s="55"/>
      <c r="BB69" s="55"/>
      <c r="BC69" s="55"/>
      <c r="BD69" s="55"/>
      <c r="BE69" s="60"/>
      <c r="BF69" s="60"/>
      <c r="BG69" s="61"/>
      <c r="BH69" s="61"/>
      <c r="BI69" s="62"/>
      <c r="BJ69" s="60"/>
      <c r="BK69" s="60"/>
      <c r="BL69" s="53"/>
      <c r="BM69" s="63"/>
      <c r="BN69" s="53"/>
      <c r="BO69" s="63"/>
      <c r="BP69" s="63"/>
      <c r="BQ69" s="54"/>
      <c r="BR69" s="54"/>
      <c r="BS69" s="52"/>
      <c r="BT69" s="54"/>
      <c r="BU69" s="54"/>
      <c r="BV69" s="54"/>
      <c r="BW69" s="51"/>
      <c r="BX69" s="64"/>
      <c r="BY69" s="64"/>
      <c r="BZ69" s="61"/>
      <c r="CA69" s="64"/>
      <c r="CB69" s="64"/>
      <c r="CC69" s="64"/>
      <c r="CD69" s="64"/>
      <c r="CE69" s="43"/>
      <c r="CF69" s="44"/>
    </row>
  </sheetData>
  <autoFilter ref="A5:CE69">
    <extLst/>
  </autoFilter>
  <mergeCells count="19">
    <mergeCell ref="A2:V2"/>
    <mergeCell ref="B4:D4"/>
    <mergeCell ref="E4:H4"/>
    <mergeCell ref="I4:P4"/>
    <mergeCell ref="Q4:V4"/>
    <mergeCell ref="W4:AE4"/>
    <mergeCell ref="AF4:AO4"/>
    <mergeCell ref="AP4:AS4"/>
    <mergeCell ref="AT4:AZ4"/>
    <mergeCell ref="BA4:BI4"/>
    <mergeCell ref="BJ4:BM4"/>
    <mergeCell ref="BN4:BO4"/>
    <mergeCell ref="BQ4:BS4"/>
    <mergeCell ref="BT4:BX4"/>
    <mergeCell ref="BY4:CA4"/>
    <mergeCell ref="B69:V69"/>
    <mergeCell ref="A4:A5"/>
    <mergeCell ref="BP4:BP5"/>
    <mergeCell ref="CD4:CD5"/>
  </mergeCells>
  <printOptions horizontalCentered="1"/>
  <pageMargins left="0.196527777777778" right="0.196527777777778" top="0.393055555555556" bottom="0.590277777777778" header="0.5" footer="0.432638888888889"/>
  <pageSetup paperSize="8" scale="67" fitToWidth="0" orientation="landscape" horizontalDpi="600"/>
  <headerFooter/>
  <colBreaks count="3" manualBreakCount="3">
    <brk id="22" max="68" man="1"/>
    <brk id="45" max="68" man="1"/>
    <brk id="68" max="6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34"/>
  <sheetViews>
    <sheetView view="pageBreakPreview" zoomScale="80" zoomScaleNormal="100" topLeftCell="A25" workbookViewId="0">
      <selection activeCell="H31" sqref="H31:J31"/>
    </sheetView>
  </sheetViews>
  <sheetFormatPr defaultColWidth="10.225" defaultRowHeight="12.75"/>
  <cols>
    <col min="1" max="1" width="12.225" style="1" customWidth="1"/>
    <col min="2" max="2" width="12.4416666666667" style="1" customWidth="1"/>
    <col min="3" max="3" width="13.775" style="1" customWidth="1"/>
    <col min="4" max="4" width="17.225" style="1" customWidth="1"/>
    <col min="5" max="5" width="12.4416666666667" style="1" customWidth="1"/>
    <col min="6" max="6" width="12.775" style="1" customWidth="1"/>
    <col min="7" max="7" width="16.8833333333333" style="1" customWidth="1"/>
    <col min="8" max="8" width="12.8833333333333" style="1" customWidth="1"/>
    <col min="9" max="9" width="13.3333333333333" style="1" customWidth="1"/>
    <col min="10" max="10" width="36.8833333333333" style="1" customWidth="1"/>
    <col min="11" max="11" width="30.6666666666667" style="1" customWidth="1"/>
    <col min="12" max="16384" width="10.225" style="1"/>
  </cols>
  <sheetData>
    <row r="1" ht="22.05" customHeight="1" spans="1:1">
      <c r="A1" s="2" t="s">
        <v>303</v>
      </c>
    </row>
    <row r="2" ht="31.5" customHeight="1" spans="1:10">
      <c r="A2" s="3" t="s">
        <v>304</v>
      </c>
      <c r="B2" s="4"/>
      <c r="C2" s="4"/>
      <c r="D2" s="4"/>
      <c r="E2" s="4"/>
      <c r="F2" s="4"/>
      <c r="G2" s="4"/>
      <c r="H2" s="4"/>
      <c r="I2" s="4"/>
      <c r="J2" s="4"/>
    </row>
    <row r="3" ht="20.1" customHeight="1" spans="1:10">
      <c r="A3" s="5" t="s">
        <v>305</v>
      </c>
      <c r="B3" s="6"/>
      <c r="C3" s="6"/>
      <c r="D3" s="6"/>
      <c r="E3" s="6"/>
      <c r="F3" s="6"/>
      <c r="G3" s="6"/>
      <c r="H3" s="6"/>
      <c r="I3" s="6"/>
      <c r="J3" s="6"/>
    </row>
    <row r="4" ht="51" customHeight="1" spans="1:10">
      <c r="A4" s="7" t="s">
        <v>306</v>
      </c>
      <c r="B4" s="7" t="s">
        <v>307</v>
      </c>
      <c r="C4" s="8"/>
      <c r="D4" s="7" t="s">
        <v>308</v>
      </c>
      <c r="E4" s="8" t="s">
        <v>309</v>
      </c>
      <c r="F4" s="8"/>
      <c r="G4" s="7" t="s">
        <v>310</v>
      </c>
      <c r="H4" s="7" t="s">
        <v>311</v>
      </c>
      <c r="I4" s="8"/>
      <c r="J4" s="8"/>
    </row>
    <row r="5" ht="49.95" customHeight="1" spans="1:10">
      <c r="A5" s="7" t="s">
        <v>312</v>
      </c>
      <c r="B5" s="7" t="s">
        <v>313</v>
      </c>
      <c r="C5" s="8"/>
      <c r="D5" s="7" t="s">
        <v>314</v>
      </c>
      <c r="E5" s="7" t="s">
        <v>315</v>
      </c>
      <c r="F5" s="8"/>
      <c r="G5" s="7" t="s">
        <v>316</v>
      </c>
      <c r="H5" s="7" t="s">
        <v>317</v>
      </c>
      <c r="I5" s="8"/>
      <c r="J5" s="8"/>
    </row>
    <row r="6" ht="79.05" customHeight="1" spans="1:10">
      <c r="A6" s="7" t="s">
        <v>318</v>
      </c>
      <c r="B6" s="7" t="s">
        <v>319</v>
      </c>
      <c r="C6" s="8"/>
      <c r="D6" s="7" t="s">
        <v>320</v>
      </c>
      <c r="E6" s="9" t="s">
        <v>311</v>
      </c>
      <c r="F6" s="10"/>
      <c r="G6" s="7" t="s">
        <v>321</v>
      </c>
      <c r="H6" s="11" t="s">
        <v>322</v>
      </c>
      <c r="I6" s="13"/>
      <c r="J6" s="13"/>
    </row>
    <row r="7" ht="57" customHeight="1" spans="1:10">
      <c r="A7" s="7" t="s">
        <v>323</v>
      </c>
      <c r="B7" s="7" t="s">
        <v>324</v>
      </c>
      <c r="C7" s="8"/>
      <c r="D7" s="7" t="s">
        <v>325</v>
      </c>
      <c r="E7" s="8" t="s">
        <v>326</v>
      </c>
      <c r="F7" s="8"/>
      <c r="G7" s="7" t="s">
        <v>327</v>
      </c>
      <c r="H7" s="8" t="s">
        <v>328</v>
      </c>
      <c r="I7" s="8"/>
      <c r="J7" s="8"/>
    </row>
    <row r="8" ht="52.05" customHeight="1" spans="1:10">
      <c r="A8" s="7" t="s">
        <v>329</v>
      </c>
      <c r="B8" s="7" t="s">
        <v>330</v>
      </c>
      <c r="C8" s="8"/>
      <c r="D8" s="7" t="s">
        <v>331</v>
      </c>
      <c r="E8" s="12">
        <v>83754185</v>
      </c>
      <c r="F8" s="8"/>
      <c r="G8" s="7" t="s">
        <v>332</v>
      </c>
      <c r="H8" s="12">
        <v>2023</v>
      </c>
      <c r="I8" s="8"/>
      <c r="J8" s="8"/>
    </row>
    <row r="9" ht="225" customHeight="1" spans="1:11">
      <c r="A9" s="7" t="s">
        <v>333</v>
      </c>
      <c r="B9" s="11" t="s">
        <v>334</v>
      </c>
      <c r="C9" s="13"/>
      <c r="D9" s="13"/>
      <c r="E9" s="13"/>
      <c r="F9" s="13"/>
      <c r="G9" s="13"/>
      <c r="H9" s="13"/>
      <c r="I9" s="13"/>
      <c r="J9" s="13"/>
      <c r="K9" s="34"/>
    </row>
    <row r="10" ht="45" customHeight="1" spans="1:10">
      <c r="A10" s="7" t="s">
        <v>335</v>
      </c>
      <c r="B10" s="7" t="s">
        <v>336</v>
      </c>
      <c r="C10" s="8"/>
      <c r="D10" s="8"/>
      <c r="E10" s="8"/>
      <c r="F10" s="8"/>
      <c r="G10" s="7" t="s">
        <v>337</v>
      </c>
      <c r="H10" s="8"/>
      <c r="I10" s="8"/>
      <c r="J10" s="8"/>
    </row>
    <row r="11" ht="45" customHeight="1" spans="1:10">
      <c r="A11" s="8"/>
      <c r="B11" s="14">
        <v>486000000</v>
      </c>
      <c r="C11" s="8"/>
      <c r="D11" s="8"/>
      <c r="E11" s="8"/>
      <c r="F11" s="8"/>
      <c r="G11" s="14">
        <v>162000000</v>
      </c>
      <c r="H11" s="8"/>
      <c r="I11" s="8"/>
      <c r="J11" s="8"/>
    </row>
    <row r="12" ht="45" customHeight="1" spans="1:10">
      <c r="A12" s="7" t="s">
        <v>338</v>
      </c>
      <c r="B12" s="7" t="s">
        <v>339</v>
      </c>
      <c r="C12" s="8"/>
      <c r="D12" s="8"/>
      <c r="E12" s="8"/>
      <c r="F12" s="8"/>
      <c r="G12" s="7" t="s">
        <v>340</v>
      </c>
      <c r="H12" s="8"/>
      <c r="I12" s="8"/>
      <c r="J12" s="8"/>
    </row>
    <row r="13" ht="103.05" customHeight="1" spans="1:10">
      <c r="A13" s="8"/>
      <c r="B13" s="15" t="s">
        <v>341</v>
      </c>
      <c r="C13" s="16"/>
      <c r="D13" s="16"/>
      <c r="E13" s="16"/>
      <c r="F13" s="16"/>
      <c r="G13" s="11" t="s">
        <v>342</v>
      </c>
      <c r="H13" s="13"/>
      <c r="I13" s="13"/>
      <c r="J13" s="13"/>
    </row>
    <row r="14" ht="37.95" customHeight="1" spans="1:11">
      <c r="A14" s="9" t="s">
        <v>343</v>
      </c>
      <c r="B14" s="17" t="s">
        <v>344</v>
      </c>
      <c r="C14" s="17" t="s">
        <v>345</v>
      </c>
      <c r="D14" s="18"/>
      <c r="E14" s="17" t="s">
        <v>346</v>
      </c>
      <c r="F14" s="18"/>
      <c r="G14" s="7" t="s">
        <v>347</v>
      </c>
      <c r="H14" s="9" t="s">
        <v>348</v>
      </c>
      <c r="I14" s="10"/>
      <c r="J14" s="10"/>
      <c r="K14" s="7" t="s">
        <v>349</v>
      </c>
    </row>
    <row r="15" ht="63" customHeight="1" spans="1:11">
      <c r="A15" s="10"/>
      <c r="B15" s="19" t="s">
        <v>350</v>
      </c>
      <c r="C15" s="17" t="s">
        <v>351</v>
      </c>
      <c r="D15" s="18"/>
      <c r="E15" s="20" t="s">
        <v>352</v>
      </c>
      <c r="F15" s="21"/>
      <c r="G15" s="22">
        <v>78589</v>
      </c>
      <c r="H15" s="11" t="s">
        <v>353</v>
      </c>
      <c r="I15" s="13"/>
      <c r="J15" s="13"/>
      <c r="K15" s="35"/>
    </row>
    <row r="16" ht="60" customHeight="1" spans="1:11">
      <c r="A16" s="10"/>
      <c r="B16" s="23"/>
      <c r="C16" s="18"/>
      <c r="D16" s="18"/>
      <c r="E16" s="24" t="s">
        <v>354</v>
      </c>
      <c r="F16" s="25"/>
      <c r="G16" s="22">
        <v>91749</v>
      </c>
      <c r="H16" s="11" t="s">
        <v>355</v>
      </c>
      <c r="I16" s="13"/>
      <c r="J16" s="13"/>
      <c r="K16" s="35"/>
    </row>
    <row r="17" ht="46.05" customHeight="1" spans="1:11">
      <c r="A17" s="10"/>
      <c r="B17" s="23"/>
      <c r="C17" s="18"/>
      <c r="D17" s="18"/>
      <c r="E17" s="24" t="s">
        <v>356</v>
      </c>
      <c r="F17" s="25"/>
      <c r="G17" s="26">
        <v>555037</v>
      </c>
      <c r="H17" s="13" t="s">
        <v>357</v>
      </c>
      <c r="I17" s="13"/>
      <c r="J17" s="13"/>
      <c r="K17" s="35"/>
    </row>
    <row r="18" ht="63" customHeight="1" spans="1:11">
      <c r="A18" s="10"/>
      <c r="B18" s="23"/>
      <c r="C18" s="18"/>
      <c r="D18" s="18"/>
      <c r="E18" s="24" t="s">
        <v>358</v>
      </c>
      <c r="F18" s="25"/>
      <c r="G18" s="22">
        <v>40000</v>
      </c>
      <c r="H18" s="11" t="s">
        <v>359</v>
      </c>
      <c r="I18" s="13"/>
      <c r="J18" s="13"/>
      <c r="K18" s="35"/>
    </row>
    <row r="19" ht="63" hidden="1" customHeight="1" spans="1:11">
      <c r="A19" s="10"/>
      <c r="B19" s="23"/>
      <c r="C19" s="18"/>
      <c r="D19" s="18"/>
      <c r="E19" s="24" t="s">
        <v>360</v>
      </c>
      <c r="F19" s="25"/>
      <c r="G19" s="22">
        <v>21</v>
      </c>
      <c r="H19" s="11" t="s">
        <v>361</v>
      </c>
      <c r="I19" s="13"/>
      <c r="J19" s="13"/>
      <c r="K19" s="36" t="s">
        <v>362</v>
      </c>
    </row>
    <row r="20" ht="63" customHeight="1" spans="1:11">
      <c r="A20" s="10"/>
      <c r="B20" s="23"/>
      <c r="C20" s="18"/>
      <c r="D20" s="18"/>
      <c r="E20" s="24" t="s">
        <v>363</v>
      </c>
      <c r="F20" s="25"/>
      <c r="G20" s="22">
        <v>100</v>
      </c>
      <c r="H20" s="8"/>
      <c r="I20" s="8"/>
      <c r="J20" s="8"/>
      <c r="K20" s="35"/>
    </row>
    <row r="21" ht="63" customHeight="1" spans="1:11">
      <c r="A21" s="10"/>
      <c r="B21" s="23"/>
      <c r="C21" s="17" t="s">
        <v>364</v>
      </c>
      <c r="D21" s="18"/>
      <c r="E21" s="24" t="s">
        <v>365</v>
      </c>
      <c r="F21" s="25"/>
      <c r="G21" s="10">
        <v>90</v>
      </c>
      <c r="H21" s="11" t="s">
        <v>366</v>
      </c>
      <c r="I21" s="13"/>
      <c r="J21" s="13"/>
      <c r="K21" s="35"/>
    </row>
    <row r="22" ht="42" customHeight="1" spans="1:11">
      <c r="A22" s="10"/>
      <c r="B22" s="23"/>
      <c r="C22" s="18"/>
      <c r="D22" s="18"/>
      <c r="E22" s="24" t="s">
        <v>367</v>
      </c>
      <c r="F22" s="25"/>
      <c r="G22" s="10">
        <v>90</v>
      </c>
      <c r="H22" s="11" t="s">
        <v>368</v>
      </c>
      <c r="I22" s="13"/>
      <c r="J22" s="13"/>
      <c r="K22" s="35"/>
    </row>
    <row r="23" ht="37.95" customHeight="1" spans="1:11">
      <c r="A23" s="10"/>
      <c r="B23" s="23"/>
      <c r="C23" s="18"/>
      <c r="D23" s="18"/>
      <c r="E23" s="24" t="s">
        <v>369</v>
      </c>
      <c r="F23" s="25"/>
      <c r="G23" s="10">
        <v>90</v>
      </c>
      <c r="H23" s="11" t="s">
        <v>370</v>
      </c>
      <c r="I23" s="13"/>
      <c r="J23" s="13"/>
      <c r="K23" s="35"/>
    </row>
    <row r="24" ht="60" customHeight="1" spans="1:11">
      <c r="A24" s="10"/>
      <c r="B24" s="23"/>
      <c r="C24" s="18"/>
      <c r="D24" s="18"/>
      <c r="E24" s="24" t="s">
        <v>371</v>
      </c>
      <c r="F24" s="25"/>
      <c r="G24" s="22">
        <v>80</v>
      </c>
      <c r="H24" s="11" t="s">
        <v>372</v>
      </c>
      <c r="I24" s="13"/>
      <c r="J24" s="13"/>
      <c r="K24" s="35"/>
    </row>
    <row r="25" ht="57" customHeight="1" spans="1:11">
      <c r="A25" s="10"/>
      <c r="B25" s="23"/>
      <c r="C25" s="18"/>
      <c r="D25" s="18"/>
      <c r="E25" s="24" t="s">
        <v>373</v>
      </c>
      <c r="F25" s="25"/>
      <c r="G25" s="22">
        <v>100</v>
      </c>
      <c r="H25" s="11" t="s">
        <v>374</v>
      </c>
      <c r="I25" s="13"/>
      <c r="J25" s="13"/>
      <c r="K25" s="36" t="s">
        <v>375</v>
      </c>
    </row>
    <row r="26" ht="46.95" customHeight="1" spans="1:11">
      <c r="A26" s="10"/>
      <c r="B26" s="23"/>
      <c r="C26" s="18"/>
      <c r="D26" s="18"/>
      <c r="E26" s="24" t="s">
        <v>376</v>
      </c>
      <c r="F26" s="25"/>
      <c r="G26" s="22">
        <v>100</v>
      </c>
      <c r="H26" s="11" t="s">
        <v>377</v>
      </c>
      <c r="I26" s="13"/>
      <c r="J26" s="13"/>
      <c r="K26" s="36" t="s">
        <v>375</v>
      </c>
    </row>
    <row r="27" ht="37.95" customHeight="1" spans="1:11">
      <c r="A27" s="10"/>
      <c r="B27" s="23"/>
      <c r="C27" s="18"/>
      <c r="D27" s="18"/>
      <c r="E27" s="24" t="s">
        <v>378</v>
      </c>
      <c r="F27" s="25"/>
      <c r="G27" s="22">
        <v>100</v>
      </c>
      <c r="H27" s="11" t="s">
        <v>379</v>
      </c>
      <c r="I27" s="13"/>
      <c r="J27" s="13"/>
      <c r="K27" s="35"/>
    </row>
    <row r="28" ht="37.95" customHeight="1" spans="1:11">
      <c r="A28" s="10"/>
      <c r="B28" s="23"/>
      <c r="C28" s="18"/>
      <c r="D28" s="18"/>
      <c r="E28" s="24" t="s">
        <v>380</v>
      </c>
      <c r="F28" s="25"/>
      <c r="G28" s="8">
        <v>80</v>
      </c>
      <c r="H28" s="11" t="s">
        <v>381</v>
      </c>
      <c r="I28" s="13"/>
      <c r="J28" s="13"/>
      <c r="K28" s="35"/>
    </row>
    <row r="29" ht="37.95" customHeight="1" spans="1:11">
      <c r="A29" s="10"/>
      <c r="B29" s="23"/>
      <c r="C29" s="18"/>
      <c r="D29" s="18"/>
      <c r="E29" s="24" t="s">
        <v>382</v>
      </c>
      <c r="F29" s="25"/>
      <c r="G29" s="22">
        <v>95</v>
      </c>
      <c r="H29" s="11" t="s">
        <v>383</v>
      </c>
      <c r="I29" s="13"/>
      <c r="J29" s="13"/>
      <c r="K29" s="35"/>
    </row>
    <row r="30" ht="72" customHeight="1" spans="1:11">
      <c r="A30" s="10"/>
      <c r="B30" s="23"/>
      <c r="C30" s="18"/>
      <c r="D30" s="18"/>
      <c r="E30" s="24" t="s">
        <v>384</v>
      </c>
      <c r="F30" s="24"/>
      <c r="G30" s="22">
        <v>85</v>
      </c>
      <c r="H30" s="27" t="s">
        <v>385</v>
      </c>
      <c r="I30" s="37"/>
      <c r="J30" s="38"/>
      <c r="K30" s="36" t="s">
        <v>386</v>
      </c>
    </row>
    <row r="31" ht="37.95" customHeight="1" spans="1:11">
      <c r="A31" s="10"/>
      <c r="B31" s="23"/>
      <c r="C31" s="17" t="s">
        <v>387</v>
      </c>
      <c r="D31" s="18"/>
      <c r="E31" s="9" t="s">
        <v>388</v>
      </c>
      <c r="F31" s="10"/>
      <c r="G31" s="28">
        <v>45261</v>
      </c>
      <c r="H31" s="29"/>
      <c r="I31" s="39"/>
      <c r="J31" s="40"/>
      <c r="K31" s="35"/>
    </row>
    <row r="32" ht="37.95" customHeight="1" spans="1:11">
      <c r="A32" s="10"/>
      <c r="B32" s="30"/>
      <c r="C32" s="17" t="s">
        <v>389</v>
      </c>
      <c r="D32" s="18"/>
      <c r="E32" s="31" t="s">
        <v>390</v>
      </c>
      <c r="F32" s="32"/>
      <c r="G32" s="9" t="s">
        <v>391</v>
      </c>
      <c r="H32" s="29"/>
      <c r="I32" s="39"/>
      <c r="J32" s="40"/>
      <c r="K32" s="35"/>
    </row>
    <row r="33" ht="37.95" customHeight="1" spans="1:11">
      <c r="A33" s="10"/>
      <c r="B33" s="19" t="s">
        <v>392</v>
      </c>
      <c r="C33" s="17" t="s">
        <v>393</v>
      </c>
      <c r="D33" s="18"/>
      <c r="E33" s="24" t="s">
        <v>394</v>
      </c>
      <c r="F33" s="25"/>
      <c r="G33" s="33" t="s">
        <v>395</v>
      </c>
      <c r="H33" s="13"/>
      <c r="I33" s="13"/>
      <c r="J33" s="13"/>
      <c r="K33" s="35"/>
    </row>
    <row r="34" ht="39" customHeight="1" spans="1:11">
      <c r="A34" s="10"/>
      <c r="B34" s="30"/>
      <c r="C34" s="17" t="s">
        <v>396</v>
      </c>
      <c r="D34" s="18"/>
      <c r="E34" s="24" t="s">
        <v>397</v>
      </c>
      <c r="F34" s="25"/>
      <c r="G34" s="10">
        <v>85</v>
      </c>
      <c r="H34" s="11" t="s">
        <v>398</v>
      </c>
      <c r="I34" s="13"/>
      <c r="J34" s="13"/>
      <c r="K34" s="35"/>
    </row>
  </sheetData>
  <autoFilter ref="A14:K34">
    <extLst/>
  </autoFilter>
  <mergeCells count="80">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F10"/>
    <mergeCell ref="G10:J10"/>
    <mergeCell ref="B11:F11"/>
    <mergeCell ref="G11:J11"/>
    <mergeCell ref="B12:F12"/>
    <mergeCell ref="G12:J12"/>
    <mergeCell ref="B13:F13"/>
    <mergeCell ref="G13:J13"/>
    <mergeCell ref="C14:D14"/>
    <mergeCell ref="E14:F14"/>
    <mergeCell ref="H14:J14"/>
    <mergeCell ref="E15:F15"/>
    <mergeCell ref="H15:J15"/>
    <mergeCell ref="E16:F16"/>
    <mergeCell ref="H16:J16"/>
    <mergeCell ref="E17:F17"/>
    <mergeCell ref="H17:J17"/>
    <mergeCell ref="E18:F18"/>
    <mergeCell ref="H18:J18"/>
    <mergeCell ref="E19:F19"/>
    <mergeCell ref="H19:J19"/>
    <mergeCell ref="E20:F20"/>
    <mergeCell ref="H20:J20"/>
    <mergeCell ref="E21:F21"/>
    <mergeCell ref="H21:J21"/>
    <mergeCell ref="E22:F22"/>
    <mergeCell ref="H22:J22"/>
    <mergeCell ref="E23:F23"/>
    <mergeCell ref="H23:J23"/>
    <mergeCell ref="E24:F24"/>
    <mergeCell ref="H24:J24"/>
    <mergeCell ref="E25:F25"/>
    <mergeCell ref="H25:J25"/>
    <mergeCell ref="E26:F26"/>
    <mergeCell ref="H26:J26"/>
    <mergeCell ref="E27:F27"/>
    <mergeCell ref="H27:J27"/>
    <mergeCell ref="E28:F28"/>
    <mergeCell ref="H28:J28"/>
    <mergeCell ref="E29:F29"/>
    <mergeCell ref="H29:J29"/>
    <mergeCell ref="E30:F30"/>
    <mergeCell ref="H30:J30"/>
    <mergeCell ref="C31:D31"/>
    <mergeCell ref="E31:F31"/>
    <mergeCell ref="H31:J31"/>
    <mergeCell ref="C32:D32"/>
    <mergeCell ref="E32:F32"/>
    <mergeCell ref="H32:J32"/>
    <mergeCell ref="C33:D33"/>
    <mergeCell ref="E33:F33"/>
    <mergeCell ref="H33:J33"/>
    <mergeCell ref="C34:D34"/>
    <mergeCell ref="E34:F34"/>
    <mergeCell ref="H34:J34"/>
    <mergeCell ref="A10:A11"/>
    <mergeCell ref="A12:A13"/>
    <mergeCell ref="A14:A34"/>
    <mergeCell ref="B15:B32"/>
    <mergeCell ref="B33:B34"/>
    <mergeCell ref="C15:D20"/>
    <mergeCell ref="C21:D30"/>
  </mergeCells>
  <printOptions horizontalCentered="1"/>
  <pageMargins left="0.393055555555556" right="0.393055555555556" top="0.590277777777778" bottom="0.786805555555556" header="0.511805555555556" footer="0.511805555555556"/>
  <pageSetup paperSize="8" scale="79" fitToHeight="2" orientation="landscape"/>
  <headerFooter alignWithMargins="0" scaleWithDoc="0">
    <oddFooter>&amp;C第 &amp;P 页，共 &amp;N 页</oddFooter>
  </headerFooter>
  <rowBreaks count="1" manualBreakCount="1">
    <brk id="1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总表 </vt:lpstr>
      <vt:lpstr>总表（分项目）</vt:lpstr>
      <vt:lpstr>市县（因素法）</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龙玉珊</dc:creator>
  <cp:lastModifiedBy>钟丹丹</cp:lastModifiedBy>
  <dcterms:created xsi:type="dcterms:W3CDTF">2018-09-21T09:26:00Z</dcterms:created>
  <dcterms:modified xsi:type="dcterms:W3CDTF">2022-12-15T04:12:59Z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A8CE86BA27694CC1B88B8669A6AED6A5</vt:lpwstr>
  </property>
</Properties>
</file>